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DISCO E\DOCUMENTOS VARIOS ESCRITORIO 15-08-2017\MODELOS FINANCIEROS\ACTUALIZACIÓN MF 2020\"/>
    </mc:Choice>
  </mc:AlternateContent>
  <xr:revisionPtr revIDLastSave="0" documentId="13_ncr:1_{A144C607-336A-4A31-ACEB-4CFD7CF2FDC8}" xr6:coauthVersionLast="45" xr6:coauthVersionMax="45" xr10:uidLastSave="{00000000-0000-0000-0000-000000000000}"/>
  <bookViews>
    <workbookView xWindow="-120" yWindow="-120" windowWidth="20730" windowHeight="11160" tabRatio="763" activeTab="4" xr2:uid="{00000000-000D-0000-FFFF-FFFF00000000}"/>
  </bookViews>
  <sheets>
    <sheet name="Panel de control" sheetId="4" r:id="rId1"/>
    <sheet name="Escenarios 20181023" sheetId="22" state="hidden" r:id="rId2"/>
    <sheet name="R_Escenarios" sheetId="19" state="hidden" r:id="rId3"/>
    <sheet name="3Esc" sheetId="23" state="hidden" r:id="rId4"/>
    <sheet name="PRY" sheetId="15" r:id="rId5"/>
    <sheet name="Resumen" sheetId="27" state="hidden" r:id="rId6"/>
    <sheet name="Informe BP" sheetId="25" state="hidden" r:id="rId7"/>
    <sheet name="Comparación" sheetId="21" state="hidden" r:id="rId8"/>
    <sheet name="CM_Prob" sheetId="18" state="hidden" r:id="rId9"/>
    <sheet name="ACRE2delete" sheetId="17" state="hidden" r:id="rId10"/>
    <sheet name="EPI" sheetId="14" state="hidden" r:id="rId11"/>
    <sheet name="AFI" sheetId="16" state="hidden" r:id="rId12"/>
    <sheet name="Base" sheetId="5" state="hidden" r:id="rId13"/>
    <sheet name="201512" sheetId="6" state="hidden" r:id="rId14"/>
    <sheet name="201612" sheetId="7" state="hidden" r:id="rId15"/>
    <sheet name="201712" sheetId="8" state="hidden" r:id="rId16"/>
    <sheet name="201806" sheetId="9" state="hidden" r:id="rId17"/>
    <sheet name="TdD" sheetId="11" state="hidden" r:id="rId18"/>
    <sheet name="Anexo 01 " sheetId="26" r:id="rId19"/>
    <sheet name="PRY (2)" sheetId="24" state="hidden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_FilterDatabase" localSheetId="13" hidden="1">'201512'!$A$1:$D$262</definedName>
    <definedName name="_xlnm._FilterDatabase" localSheetId="14" hidden="1">'201612'!$A$1:$E$259</definedName>
    <definedName name="_xlnm._FilterDatabase" localSheetId="15" hidden="1">'201712'!$A$1:$E$272</definedName>
    <definedName name="_xlnm._FilterDatabase" localSheetId="16" hidden="1">'201806'!$A$1:$E$277</definedName>
    <definedName name="_xlnm._FilterDatabase" localSheetId="11" hidden="1">AFI!$A$2:$E$122</definedName>
    <definedName name="_xlnm._FilterDatabase" localSheetId="12" hidden="1">Base!$A$1:$G$372</definedName>
    <definedName name="_xlnm._FilterDatabase" localSheetId="10" hidden="1">EPI!$A$1:$H$372</definedName>
    <definedName name="_xlnm.Print_Area" localSheetId="13">'201512'!$A$2:$D$262</definedName>
    <definedName name="_xlnm.Print_Area" localSheetId="14">'201612'!$A$2:$E$259</definedName>
    <definedName name="_xlnm.Print_Area" localSheetId="15">'201712'!$A$2:$E$272</definedName>
    <definedName name="_xlnm.Print_Area" localSheetId="16">'201806'!$A$1:$E$277</definedName>
    <definedName name="_xlnm.Print_Area" localSheetId="12">Base!$A$2:$G$226</definedName>
    <definedName name="_xlnm.Print_Area" localSheetId="10">EPI!$A$2:$H$226</definedName>
    <definedName name="_xlnm.Print_Area" localSheetId="4">PRY!$B$8:$M$190</definedName>
    <definedName name="_xlnm.Print_Area" localSheetId="19">'PRY (2)'!$B$8:$M$180</definedName>
    <definedName name="_xlnm.Print_Area" localSheetId="17">TdD!#REF!</definedName>
    <definedName name="BuiltIn_Print_Area" localSheetId="10">#REF!</definedName>
    <definedName name="BuiltIn_Print_Area" localSheetId="19">#REF!</definedName>
    <definedName name="BuiltIn_Print_Area" localSheetId="17">#REF!</definedName>
    <definedName name="BuiltIn_Print_Area">#REF!</definedName>
    <definedName name="BuiltIn_Print_Area___0" localSheetId="10">#REF!</definedName>
    <definedName name="BuiltIn_Print_Area___0" localSheetId="19">#REF!</definedName>
    <definedName name="BuiltIn_Print_Area___0" localSheetId="17">#REF!</definedName>
    <definedName name="BuiltIn_Print_Area___0">#REF!</definedName>
    <definedName name="DIV_o">[1]EST!$F$47</definedName>
    <definedName name="Idioma" localSheetId="17">[2]COV!$A$19</definedName>
    <definedName name="Idioma">[3]COV!$A$19</definedName>
    <definedName name="_xlnm.Print_Titles" localSheetId="4">PRY!$3:$7</definedName>
    <definedName name="_xlnm.Print_Titles" localSheetId="19">'PRY (2)'!$3:$7</definedName>
    <definedName name="_xlnm.Print_Titles" localSheetId="17">TdD!#REF!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53" i="15" l="1"/>
  <c r="L53" i="15" s="1"/>
  <c r="M53" i="15" s="1"/>
  <c r="G545" i="15" l="1"/>
  <c r="G552" i="15" s="1"/>
  <c r="G543" i="15"/>
  <c r="M55" i="15" l="1"/>
  <c r="N55" i="15" s="1"/>
  <c r="O55" i="15" s="1"/>
  <c r="P55" i="15" s="1"/>
  <c r="Q55" i="15" s="1"/>
  <c r="Q240" i="15" s="1"/>
  <c r="Q298" i="15"/>
  <c r="Q303" i="15"/>
  <c r="Q358" i="15"/>
  <c r="Q359" i="15"/>
  <c r="Q72" i="15" s="1"/>
  <c r="Q360" i="15"/>
  <c r="Q73" i="15" s="1"/>
  <c r="Q510" i="15"/>
  <c r="Q723" i="15"/>
  <c r="N3" i="21"/>
  <c r="O3" i="21"/>
  <c r="H383" i="15"/>
  <c r="Q71" i="15" l="1"/>
  <c r="Q335" i="15"/>
  <c r="N6" i="21"/>
  <c r="N7" i="21" s="1"/>
  <c r="O6" i="21"/>
  <c r="O7" i="21" s="1"/>
  <c r="Q724" i="15" l="1"/>
  <c r="Q197" i="15"/>
  <c r="Q433" i="15"/>
  <c r="Q600" i="15"/>
  <c r="Q745" i="15"/>
  <c r="J501" i="15" l="1"/>
  <c r="K338" i="15"/>
  <c r="L338" i="15" s="1"/>
  <c r="N338" i="15" s="1"/>
  <c r="O338" i="15" s="1"/>
  <c r="P338" i="15" s="1"/>
  <c r="Q338" i="15" s="1"/>
  <c r="D17" i="21" l="1"/>
  <c r="G383" i="15" l="1"/>
  <c r="C17" i="21"/>
  <c r="I383" i="15" l="1"/>
  <c r="E35" i="21" l="1"/>
  <c r="F35" i="21" s="1"/>
  <c r="G35" i="21" s="1"/>
  <c r="H35" i="21" s="1"/>
  <c r="I35" i="21" s="1"/>
  <c r="J35" i="21" s="1"/>
  <c r="K35" i="21" s="1"/>
  <c r="L35" i="21" s="1"/>
  <c r="M35" i="21" s="1"/>
  <c r="J383" i="15"/>
  <c r="K383" i="15" s="1"/>
  <c r="L383" i="15" s="1"/>
  <c r="M383" i="15" s="1"/>
  <c r="N383" i="15" s="1"/>
  <c r="O383" i="15" s="1"/>
  <c r="P383" i="15" s="1"/>
  <c r="Q383" i="15" s="1"/>
  <c r="D34" i="21"/>
  <c r="F22" i="21"/>
  <c r="M22" i="21"/>
  <c r="L22" i="21"/>
  <c r="K22" i="21"/>
  <c r="J22" i="21"/>
  <c r="H22" i="21"/>
  <c r="G22" i="21"/>
  <c r="E22" i="21"/>
  <c r="C19" i="21"/>
  <c r="G298" i="15" s="1"/>
  <c r="E34" i="21" l="1"/>
  <c r="F34" i="21" s="1"/>
  <c r="G34" i="21" s="1"/>
  <c r="H34" i="21" s="1"/>
  <c r="I34" i="21" s="1"/>
  <c r="J34" i="21" s="1"/>
  <c r="K34" i="21" s="1"/>
  <c r="L34" i="21" s="1"/>
  <c r="M34" i="21" s="1"/>
  <c r="H353" i="15"/>
  <c r="E11" i="21"/>
  <c r="D132" i="16"/>
  <c r="F11" i="21" l="1"/>
  <c r="G11" i="21" s="1"/>
  <c r="H11" i="21" s="1"/>
  <c r="I11" i="21" s="1"/>
  <c r="J11" i="21" s="1"/>
  <c r="K11" i="21" s="1"/>
  <c r="L11" i="21" s="1"/>
  <c r="M11" i="21" s="1"/>
  <c r="Q290" i="15" s="1"/>
  <c r="I55" i="26"/>
  <c r="H55" i="26"/>
  <c r="G55" i="26"/>
  <c r="F55" i="26"/>
  <c r="E55" i="26"/>
  <c r="D55" i="26"/>
  <c r="C55" i="26"/>
  <c r="P39" i="26"/>
  <c r="O39" i="26"/>
  <c r="N39" i="26"/>
  <c r="M39" i="26"/>
  <c r="L39" i="26"/>
  <c r="K39" i="26"/>
  <c r="J39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F33" i="26"/>
  <c r="E33" i="26"/>
  <c r="D33" i="26"/>
  <c r="C33" i="26"/>
  <c r="C29" i="26"/>
  <c r="C28" i="26"/>
  <c r="D19" i="26"/>
  <c r="E19" i="26" s="1"/>
  <c r="F19" i="26" s="1"/>
  <c r="G19" i="26" s="1"/>
  <c r="H19" i="26" s="1"/>
  <c r="I19" i="26" s="1"/>
  <c r="J19" i="26" s="1"/>
  <c r="K19" i="26" s="1"/>
  <c r="L19" i="26" s="1"/>
  <c r="M19" i="26" s="1"/>
  <c r="N19" i="26" s="1"/>
  <c r="O19" i="26" s="1"/>
  <c r="P19" i="26" s="1"/>
  <c r="I54" i="15" l="1"/>
  <c r="H54" i="15"/>
  <c r="M45" i="21"/>
  <c r="L45" i="21"/>
  <c r="K45" i="21"/>
  <c r="J45" i="21"/>
  <c r="I45" i="21"/>
  <c r="H45" i="21"/>
  <c r="G45" i="21"/>
  <c r="F45" i="21"/>
  <c r="E45" i="21"/>
  <c r="D45" i="21"/>
  <c r="C45" i="21"/>
  <c r="C48" i="21"/>
  <c r="C35" i="21"/>
  <c r="C11" i="21"/>
  <c r="M60" i="21"/>
  <c r="M56" i="21"/>
  <c r="M52" i="21"/>
  <c r="M3" i="21"/>
  <c r="J54" i="15" l="1"/>
  <c r="K54" i="15"/>
  <c r="C10" i="21"/>
  <c r="M46" i="21" l="1"/>
  <c r="C34" i="21"/>
  <c r="F36" i="21" l="1"/>
  <c r="G36" i="21"/>
  <c r="C36" i="21"/>
  <c r="H36" i="21"/>
  <c r="G46" i="21"/>
  <c r="K46" i="21"/>
  <c r="D46" i="21"/>
  <c r="H46" i="21"/>
  <c r="L46" i="21"/>
  <c r="E46" i="21"/>
  <c r="I46" i="21"/>
  <c r="F46" i="21"/>
  <c r="J46" i="21"/>
  <c r="P11" i="25" l="1"/>
  <c r="P22" i="25" s="1"/>
  <c r="O11" i="25"/>
  <c r="O22" i="25" s="1"/>
  <c r="N11" i="25"/>
  <c r="N22" i="25" s="1"/>
  <c r="M11" i="25"/>
  <c r="M22" i="25" s="1"/>
  <c r="K11" i="25"/>
  <c r="K22" i="25" s="1"/>
  <c r="L11" i="25"/>
  <c r="L22" i="25" s="1"/>
  <c r="F61" i="24" l="1"/>
  <c r="F873" i="15"/>
  <c r="E873" i="15"/>
  <c r="D873" i="15"/>
  <c r="G4" i="16"/>
  <c r="H4" i="16" s="1"/>
  <c r="G3" i="16"/>
  <c r="H3" i="16" s="1"/>
  <c r="H5" i="16" l="1"/>
  <c r="G5" i="16"/>
  <c r="S16" i="24"/>
  <c r="T24" i="24" s="1"/>
  <c r="T69" i="24"/>
  <c r="T68" i="24"/>
  <c r="T67" i="24"/>
  <c r="T66" i="24"/>
  <c r="T65" i="24"/>
  <c r="T64" i="24"/>
  <c r="T63" i="24"/>
  <c r="T62" i="24"/>
  <c r="T17" i="24" l="1"/>
  <c r="T21" i="24"/>
  <c r="T18" i="24"/>
  <c r="T22" i="24"/>
  <c r="T19" i="24"/>
  <c r="T23" i="24"/>
  <c r="T20" i="24"/>
  <c r="A14" i="22"/>
  <c r="D150" i="4" l="1"/>
  <c r="G439" i="15"/>
  <c r="L52" i="21" l="1"/>
  <c r="K52" i="21"/>
  <c r="J52" i="21"/>
  <c r="I52" i="21"/>
  <c r="H52" i="21"/>
  <c r="G52" i="21"/>
  <c r="F52" i="21"/>
  <c r="E52" i="21"/>
  <c r="D52" i="21"/>
  <c r="C52" i="21"/>
  <c r="L60" i="21"/>
  <c r="K60" i="21"/>
  <c r="J60" i="21"/>
  <c r="I60" i="21"/>
  <c r="H60" i="21"/>
  <c r="G60" i="21"/>
  <c r="F60" i="21"/>
  <c r="E60" i="21"/>
  <c r="D60" i="21"/>
  <c r="C60" i="21"/>
  <c r="L56" i="21"/>
  <c r="K56" i="21"/>
  <c r="J56" i="21"/>
  <c r="I56" i="21"/>
  <c r="H56" i="21"/>
  <c r="G56" i="21"/>
  <c r="F56" i="21"/>
  <c r="E56" i="21"/>
  <c r="D56" i="21"/>
  <c r="C56" i="21"/>
  <c r="K3" i="21"/>
  <c r="L3" i="21"/>
  <c r="J3" i="21"/>
  <c r="I3" i="21"/>
  <c r="H3" i="21"/>
  <c r="G3" i="21"/>
  <c r="F3" i="21"/>
  <c r="E3" i="21"/>
  <c r="D3" i="21"/>
  <c r="C3" i="21"/>
  <c r="C39" i="21" l="1"/>
  <c r="Q42" i="19" l="1"/>
  <c r="Q40" i="19"/>
  <c r="Q38" i="19"/>
  <c r="E603" i="15" l="1"/>
  <c r="F603" i="15" s="1"/>
  <c r="G603" i="15" s="1"/>
  <c r="H603" i="15" s="1"/>
  <c r="I603" i="15" s="1"/>
  <c r="J603" i="15" s="1"/>
  <c r="K603" i="15" s="1"/>
  <c r="L603" i="15" s="1"/>
  <c r="M603" i="15" s="1"/>
  <c r="N603" i="15" s="1"/>
  <c r="O603" i="15" s="1"/>
  <c r="P603" i="15" s="1"/>
  <c r="Q603" i="15" s="1"/>
  <c r="J9" i="19"/>
  <c r="J11" i="19"/>
  <c r="I10" i="19" l="1"/>
  <c r="I8" i="19"/>
  <c r="I6" i="19"/>
  <c r="L25" i="4"/>
  <c r="K25" i="4"/>
  <c r="J25" i="4"/>
  <c r="I25" i="4"/>
  <c r="H25" i="4"/>
  <c r="G25" i="4"/>
  <c r="F25" i="4"/>
  <c r="E25" i="4"/>
  <c r="D25" i="4"/>
  <c r="C25" i="4"/>
  <c r="B25" i="4"/>
  <c r="V58" i="15" l="1"/>
  <c r="V57" i="15"/>
  <c r="V56" i="15"/>
  <c r="V55" i="15"/>
  <c r="V54" i="15"/>
  <c r="V53" i="15"/>
  <c r="V52" i="15"/>
  <c r="V51" i="15"/>
  <c r="V48" i="15"/>
  <c r="V47" i="15"/>
  <c r="V46" i="15"/>
  <c r="V45" i="15"/>
  <c r="V44" i="15"/>
  <c r="V43" i="15"/>
  <c r="V40" i="15"/>
  <c r="V39" i="15"/>
  <c r="V38" i="15"/>
  <c r="V33" i="15"/>
  <c r="V32" i="15"/>
  <c r="V31" i="15"/>
  <c r="V28" i="15"/>
  <c r="V27" i="15"/>
  <c r="V14" i="15"/>
  <c r="V13" i="15"/>
  <c r="V24" i="15"/>
  <c r="V23" i="15"/>
  <c r="V22" i="15"/>
  <c r="V21" i="15"/>
  <c r="V20" i="15"/>
  <c r="V19" i="15"/>
  <c r="V18" i="15"/>
  <c r="V17" i="15"/>
  <c r="D124" i="4"/>
  <c r="E124" i="4" s="1"/>
  <c r="F124" i="4" s="1"/>
  <c r="G124" i="4" s="1"/>
  <c r="H124" i="4" s="1"/>
  <c r="I124" i="4" s="1"/>
  <c r="D137" i="4"/>
  <c r="F831" i="15"/>
  <c r="V50" i="15" l="1"/>
  <c r="V42" i="15"/>
  <c r="V37" i="15"/>
  <c r="P510" i="15"/>
  <c r="O510" i="15"/>
  <c r="G515" i="15"/>
  <c r="G516" i="15"/>
  <c r="H516" i="15" s="1"/>
  <c r="I516" i="15" s="1"/>
  <c r="J516" i="15" s="1"/>
  <c r="K516" i="15" s="1"/>
  <c r="L516" i="15" s="1"/>
  <c r="M516" i="15" s="1"/>
  <c r="N516" i="15" s="1"/>
  <c r="O516" i="15" s="1"/>
  <c r="P516" i="15" s="1"/>
  <c r="V73" i="15"/>
  <c r="V72" i="15"/>
  <c r="V69" i="15"/>
  <c r="V68" i="15"/>
  <c r="V67" i="15"/>
  <c r="V66" i="15"/>
  <c r="V65" i="15"/>
  <c r="V64" i="15"/>
  <c r="V63" i="15"/>
  <c r="F63" i="15"/>
  <c r="A18" i="18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F13" i="18"/>
  <c r="F14" i="18" s="1"/>
  <c r="H121" i="4" s="1"/>
  <c r="I121" i="4" s="1"/>
  <c r="E13" i="18"/>
  <c r="E14" i="18" s="1"/>
  <c r="G121" i="4" s="1"/>
  <c r="G132" i="4" s="1"/>
  <c r="D13" i="18"/>
  <c r="D14" i="18" s="1"/>
  <c r="F121" i="4" s="1"/>
  <c r="F132" i="4" s="1"/>
  <c r="C13" i="18"/>
  <c r="C14" i="18" s="1"/>
  <c r="E121" i="4" s="1"/>
  <c r="E132" i="4" s="1"/>
  <c r="B13" i="18"/>
  <c r="B14" i="18" s="1"/>
  <c r="D110" i="4" s="1"/>
  <c r="E110" i="4" s="1"/>
  <c r="F110" i="4" s="1"/>
  <c r="G110" i="4" s="1"/>
  <c r="H110" i="4" s="1"/>
  <c r="I110" i="4" s="1"/>
  <c r="J110" i="4" s="1"/>
  <c r="K110" i="4" s="1"/>
  <c r="L110" i="4" s="1"/>
  <c r="M110" i="4" s="1"/>
  <c r="F11" i="18"/>
  <c r="E11" i="18"/>
  <c r="D11" i="18"/>
  <c r="C11" i="18"/>
  <c r="B11" i="18"/>
  <c r="F9" i="18"/>
  <c r="F16" i="18" s="1"/>
  <c r="E9" i="18"/>
  <c r="E16" i="18" s="1"/>
  <c r="D9" i="18"/>
  <c r="D16" i="18" s="1"/>
  <c r="C9" i="18"/>
  <c r="C16" i="18" s="1"/>
  <c r="B9" i="18"/>
  <c r="B16" i="18" s="1"/>
  <c r="F7" i="18"/>
  <c r="E7" i="18"/>
  <c r="D7" i="18"/>
  <c r="C7" i="18"/>
  <c r="B7" i="18"/>
  <c r="V35" i="15" l="1"/>
  <c r="D121" i="4"/>
  <c r="D132" i="4" s="1"/>
  <c r="D143" i="4" s="1"/>
  <c r="H132" i="4"/>
  <c r="J121" i="4"/>
  <c r="J132" i="4" s="1"/>
  <c r="J143" i="4" s="1"/>
  <c r="I132" i="4"/>
  <c r="E143" i="4"/>
  <c r="E83" i="4"/>
  <c r="F143" i="4"/>
  <c r="F83" i="4" s="1"/>
  <c r="G143" i="4"/>
  <c r="G83" i="4" s="1"/>
  <c r="G512" i="15"/>
  <c r="G510" i="15" s="1"/>
  <c r="H513" i="15"/>
  <c r="V62" i="15"/>
  <c r="V78" i="15"/>
  <c r="V71" i="15"/>
  <c r="D83" i="4" l="1"/>
  <c r="H143" i="4"/>
  <c r="H83" i="4" s="1"/>
  <c r="J83" i="4"/>
  <c r="I143" i="4"/>
  <c r="I83" i="4" s="1"/>
  <c r="K121" i="4"/>
  <c r="K132" i="4" s="1"/>
  <c r="K143" i="4" s="1"/>
  <c r="H515" i="15"/>
  <c r="I513" i="15" s="1"/>
  <c r="V75" i="15"/>
  <c r="V76" i="15" s="1"/>
  <c r="V77" i="15"/>
  <c r="K83" i="4" l="1"/>
  <c r="L121" i="4"/>
  <c r="L132" i="4" s="1"/>
  <c r="L143" i="4" s="1"/>
  <c r="I515" i="15"/>
  <c r="J513" i="15" s="1"/>
  <c r="H512" i="15"/>
  <c r="H510" i="15" s="1"/>
  <c r="L83" i="4" l="1"/>
  <c r="M121" i="4"/>
  <c r="M132" i="4" s="1"/>
  <c r="J515" i="15"/>
  <c r="K513" i="15" s="1"/>
  <c r="I512" i="15"/>
  <c r="I510" i="15" s="1"/>
  <c r="M143" i="4" l="1"/>
  <c r="M83" i="4" s="1"/>
  <c r="K515" i="15"/>
  <c r="L513" i="15" s="1"/>
  <c r="J512" i="15"/>
  <c r="J510" i="15" s="1"/>
  <c r="L515" i="15" l="1"/>
  <c r="M513" i="15" s="1"/>
  <c r="K512" i="15"/>
  <c r="K510" i="15" s="1"/>
  <c r="M515" i="15" l="1"/>
  <c r="L512" i="15"/>
  <c r="L510" i="15" s="1"/>
  <c r="N514" i="15" l="1"/>
  <c r="N513" i="15"/>
  <c r="M512" i="15"/>
  <c r="M510" i="15" s="1"/>
  <c r="N515" i="15" l="1"/>
  <c r="N512" i="15" s="1"/>
  <c r="N510" i="15" s="1"/>
  <c r="D122" i="4" l="1"/>
  <c r="D363" i="15"/>
  <c r="E279" i="9" l="1"/>
  <c r="C132" i="16" l="1"/>
  <c r="C131" i="16"/>
  <c r="C130" i="16"/>
  <c r="C129" i="16"/>
  <c r="C128" i="16"/>
  <c r="E77" i="4" l="1"/>
  <c r="H346" i="15" l="1"/>
  <c r="D138" i="4"/>
  <c r="B594" i="15" l="1"/>
  <c r="B589" i="15"/>
  <c r="B599" i="15" s="1"/>
  <c r="J346" i="15" l="1"/>
  <c r="D149" i="4"/>
  <c r="D89" i="4" s="1"/>
  <c r="G8" i="17" s="1"/>
  <c r="K346" i="15" l="1"/>
  <c r="G6" i="17"/>
  <c r="G11" i="17"/>
  <c r="E280" i="9"/>
  <c r="E281" i="9" s="1"/>
  <c r="F11" i="17"/>
  <c r="F8" i="17"/>
  <c r="F6" i="17"/>
  <c r="E363" i="15"/>
  <c r="F363" i="15" s="1"/>
  <c r="G363" i="15" s="1"/>
  <c r="H363" i="15" s="1"/>
  <c r="I363" i="15" s="1"/>
  <c r="J363" i="15" s="1"/>
  <c r="K363" i="15" s="1"/>
  <c r="L363" i="15" s="1"/>
  <c r="M363" i="15" s="1"/>
  <c r="N363" i="15" s="1"/>
  <c r="O363" i="15" s="1"/>
  <c r="P363" i="15" s="1"/>
  <c r="Q363" i="15" s="1"/>
  <c r="Q364" i="15" s="1"/>
  <c r="Q607" i="15" s="1"/>
  <c r="P240" i="15"/>
  <c r="O240" i="15"/>
  <c r="N240" i="15"/>
  <c r="M240" i="15"/>
  <c r="L240" i="15"/>
  <c r="K240" i="15"/>
  <c r="J240" i="15"/>
  <c r="I240" i="15"/>
  <c r="H240" i="15"/>
  <c r="G240" i="15"/>
  <c r="F240" i="15"/>
  <c r="E240" i="15"/>
  <c r="D240" i="15"/>
  <c r="F239" i="15"/>
  <c r="E239" i="15"/>
  <c r="D239" i="15"/>
  <c r="F238" i="15"/>
  <c r="E238" i="15"/>
  <c r="D238" i="15"/>
  <c r="D22" i="17"/>
  <c r="C22" i="17" s="1"/>
  <c r="D21" i="17"/>
  <c r="H21" i="17" s="1"/>
  <c r="D20" i="17"/>
  <c r="H20" i="17" s="1"/>
  <c r="D19" i="17"/>
  <c r="H19" i="17" s="1"/>
  <c r="D18" i="17"/>
  <c r="H18" i="17" s="1"/>
  <c r="D17" i="17"/>
  <c r="H17" i="17" s="1"/>
  <c r="D16" i="17"/>
  <c r="H16" i="17" s="1"/>
  <c r="D15" i="17"/>
  <c r="C15" i="17" s="1"/>
  <c r="D14" i="17"/>
  <c r="C14" i="17" s="1"/>
  <c r="D13" i="17"/>
  <c r="C13" i="17" s="1"/>
  <c r="D12" i="17"/>
  <c r="H12" i="17" s="1"/>
  <c r="D11" i="17"/>
  <c r="C11" i="17" s="1"/>
  <c r="D10" i="17"/>
  <c r="C10" i="17" s="1"/>
  <c r="D9" i="17"/>
  <c r="H9" i="17" s="1"/>
  <c r="D8" i="17"/>
  <c r="H8" i="17" s="1"/>
  <c r="D7" i="17"/>
  <c r="C7" i="17" s="1"/>
  <c r="D6" i="17"/>
  <c r="C6" i="17" s="1"/>
  <c r="D5" i="17"/>
  <c r="C5" i="17" s="1"/>
  <c r="C20" i="17" l="1"/>
  <c r="C12" i="17"/>
  <c r="C9" i="17"/>
  <c r="C8" i="17"/>
  <c r="C16" i="17"/>
  <c r="C17" i="17"/>
  <c r="C21" i="17"/>
  <c r="H7" i="17"/>
  <c r="C19" i="17"/>
  <c r="H5" i="17"/>
  <c r="L346" i="15"/>
  <c r="H15" i="17"/>
  <c r="H10" i="17"/>
  <c r="C18" i="17"/>
  <c r="H22" i="17"/>
  <c r="H14" i="17"/>
  <c r="H11" i="17"/>
  <c r="H13" i="17"/>
  <c r="H6" i="17"/>
  <c r="D23" i="17"/>
  <c r="D24" i="17" s="1"/>
  <c r="D151" i="4"/>
  <c r="D91" i="4" s="1"/>
  <c r="H520" i="15" s="1"/>
  <c r="I525" i="15"/>
  <c r="J525" i="15" s="1"/>
  <c r="K525" i="15" s="1"/>
  <c r="L525" i="15" s="1"/>
  <c r="M525" i="15" s="1"/>
  <c r="N525" i="15" s="1"/>
  <c r="O525" i="15" s="1"/>
  <c r="P525" i="15" s="1"/>
  <c r="Q525" i="15" s="1"/>
  <c r="Q527" i="15" s="1"/>
  <c r="C23" i="17" l="1"/>
  <c r="C24" i="17" s="1"/>
  <c r="M346" i="15"/>
  <c r="H23" i="17"/>
  <c r="P527" i="15"/>
  <c r="L527" i="15"/>
  <c r="H527" i="15"/>
  <c r="H521" i="15" s="1"/>
  <c r="H44" i="15" s="1"/>
  <c r="O527" i="15"/>
  <c r="K527" i="15"/>
  <c r="J527" i="15"/>
  <c r="N527" i="15"/>
  <c r="M527" i="15"/>
  <c r="I527" i="15"/>
  <c r="H93" i="15"/>
  <c r="B23" i="17"/>
  <c r="B24" i="17" l="1"/>
  <c r="N346" i="15"/>
  <c r="D26" i="17"/>
  <c r="G438" i="15" s="1"/>
  <c r="I520" i="15"/>
  <c r="I521" i="15" s="1"/>
  <c r="H526" i="15"/>
  <c r="O346" i="15" l="1"/>
  <c r="J520" i="15"/>
  <c r="I44" i="15"/>
  <c r="I526" i="15"/>
  <c r="P723" i="15"/>
  <c r="O723" i="15"/>
  <c r="N723" i="15"/>
  <c r="M723" i="15"/>
  <c r="L723" i="15"/>
  <c r="K723" i="15"/>
  <c r="J723" i="15"/>
  <c r="I723" i="15"/>
  <c r="H723" i="15"/>
  <c r="G723" i="15"/>
  <c r="F723" i="15"/>
  <c r="D90" i="4"/>
  <c r="P346" i="15" l="1"/>
  <c r="Q346" i="15" s="1"/>
  <c r="J521" i="15"/>
  <c r="J526" i="15" s="1"/>
  <c r="K520" i="15" l="1"/>
  <c r="J44" i="15"/>
  <c r="D148" i="4"/>
  <c r="D88" i="4" s="1"/>
  <c r="D135" i="4"/>
  <c r="D146" i="4" s="1"/>
  <c r="D86" i="4" s="1"/>
  <c r="E135" i="4"/>
  <c r="F135" i="4"/>
  <c r="G135" i="4"/>
  <c r="H135" i="4"/>
  <c r="I135" i="4"/>
  <c r="J135" i="4"/>
  <c r="K135" i="4"/>
  <c r="L135" i="4"/>
  <c r="L146" i="4" s="1"/>
  <c r="M135" i="4"/>
  <c r="D136" i="4"/>
  <c r="E136" i="4"/>
  <c r="F136" i="4"/>
  <c r="G136" i="4"/>
  <c r="H136" i="4"/>
  <c r="I136" i="4"/>
  <c r="J136" i="4"/>
  <c r="K136" i="4"/>
  <c r="L136" i="4"/>
  <c r="M136" i="4"/>
  <c r="D133" i="4"/>
  <c r="E133" i="4"/>
  <c r="F133" i="4"/>
  <c r="G133" i="4"/>
  <c r="H133" i="4"/>
  <c r="I133" i="4"/>
  <c r="J133" i="4"/>
  <c r="K133" i="4"/>
  <c r="L133" i="4"/>
  <c r="M133" i="4"/>
  <c r="G54" i="15"/>
  <c r="G187" i="15"/>
  <c r="G537" i="15"/>
  <c r="G75" i="4" l="1"/>
  <c r="J774" i="15"/>
  <c r="E22" i="17"/>
  <c r="F22" i="17" s="1"/>
  <c r="E14" i="17"/>
  <c r="F14" i="17" s="1"/>
  <c r="E21" i="17"/>
  <c r="F21" i="17" s="1"/>
  <c r="E13" i="17"/>
  <c r="F13" i="17" s="1"/>
  <c r="E20" i="17"/>
  <c r="F20" i="17" s="1"/>
  <c r="E12" i="17"/>
  <c r="F12" i="17" s="1"/>
  <c r="E19" i="17"/>
  <c r="F19" i="17" s="1"/>
  <c r="E10" i="17"/>
  <c r="F10" i="17" s="1"/>
  <c r="E18" i="17"/>
  <c r="F18" i="17" s="1"/>
  <c r="E9" i="17"/>
  <c r="F9" i="17" s="1"/>
  <c r="E17" i="17"/>
  <c r="F17" i="17" s="1"/>
  <c r="E7" i="17"/>
  <c r="F7" i="17" s="1"/>
  <c r="E16" i="17"/>
  <c r="F16" i="17" s="1"/>
  <c r="E5" i="17"/>
  <c r="F5" i="17" s="1"/>
  <c r="E15" i="17"/>
  <c r="F15" i="17" s="1"/>
  <c r="G154" i="15"/>
  <c r="G239" i="15"/>
  <c r="K521" i="15"/>
  <c r="K526" i="15" s="1"/>
  <c r="G410" i="15"/>
  <c r="I146" i="4"/>
  <c r="I86" i="4" s="1"/>
  <c r="H146" i="4"/>
  <c r="H86" i="4" s="1"/>
  <c r="L86" i="4"/>
  <c r="O410" i="15" s="1"/>
  <c r="G147" i="4"/>
  <c r="G87" i="4" s="1"/>
  <c r="J147" i="4"/>
  <c r="J87" i="4" s="1"/>
  <c r="K144" i="4"/>
  <c r="K84" i="4" s="1"/>
  <c r="M144" i="4"/>
  <c r="M84" i="4" s="1"/>
  <c r="I147" i="4"/>
  <c r="I87" i="4" s="1"/>
  <c r="K146" i="4"/>
  <c r="K86" i="4" s="1"/>
  <c r="N410" i="15" s="1"/>
  <c r="L144" i="4"/>
  <c r="L84" i="4" s="1"/>
  <c r="D144" i="4"/>
  <c r="D84" i="4" s="1"/>
  <c r="H147" i="4"/>
  <c r="H87" i="4" s="1"/>
  <c r="J146" i="4"/>
  <c r="J86" i="4" s="1"/>
  <c r="H144" i="4"/>
  <c r="H84" i="4" s="1"/>
  <c r="D147" i="4"/>
  <c r="D87" i="4" s="1"/>
  <c r="E144" i="4"/>
  <c r="E84" i="4" s="1"/>
  <c r="F144" i="4"/>
  <c r="F84" i="4" s="1"/>
  <c r="I144" i="4"/>
  <c r="I84" i="4" s="1"/>
  <c r="M147" i="4"/>
  <c r="M87" i="4" s="1"/>
  <c r="P432" i="15" s="1"/>
  <c r="Q432" i="15" s="1"/>
  <c r="E147" i="4"/>
  <c r="E87" i="4" s="1"/>
  <c r="H432" i="15" s="1"/>
  <c r="G146" i="4"/>
  <c r="G86" i="4" s="1"/>
  <c r="J144" i="4"/>
  <c r="J84" i="4" s="1"/>
  <c r="F147" i="4"/>
  <c r="F87" i="4" s="1"/>
  <c r="G144" i="4"/>
  <c r="G84" i="4" s="1"/>
  <c r="K147" i="4"/>
  <c r="K87" i="4" s="1"/>
  <c r="N432" i="15" s="1"/>
  <c r="M146" i="4"/>
  <c r="M86" i="4" s="1"/>
  <c r="P410" i="15" s="1"/>
  <c r="Q410" i="15" s="1"/>
  <c r="E146" i="4"/>
  <c r="E86" i="4" s="1"/>
  <c r="F146" i="4"/>
  <c r="F86" i="4" s="1"/>
  <c r="L147" i="4"/>
  <c r="L87" i="4" s="1"/>
  <c r="O432" i="15" s="1"/>
  <c r="H239" i="15"/>
  <c r="L520" i="15" l="1"/>
  <c r="K44" i="15"/>
  <c r="F23" i="17"/>
  <c r="G532" i="15" s="1"/>
  <c r="G533" i="15" s="1"/>
  <c r="I239" i="15"/>
  <c r="H154" i="15"/>
  <c r="C243" i="15"/>
  <c r="C245" i="15" s="1"/>
  <c r="C242" i="15"/>
  <c r="C241" i="15"/>
  <c r="C236" i="15"/>
  <c r="C235" i="15"/>
  <c r="C233" i="15"/>
  <c r="C232" i="15"/>
  <c r="C231" i="15"/>
  <c r="C229" i="15"/>
  <c r="C228" i="15"/>
  <c r="C227" i="15"/>
  <c r="C226" i="15"/>
  <c r="B243" i="15"/>
  <c r="B261" i="15" s="1"/>
  <c r="B242" i="15"/>
  <c r="B260" i="15" s="1"/>
  <c r="B241" i="15"/>
  <c r="B259" i="15" s="1"/>
  <c r="B236" i="15"/>
  <c r="B258" i="15" s="1"/>
  <c r="B235" i="15"/>
  <c r="B257" i="15" s="1"/>
  <c r="B233" i="15"/>
  <c r="B255" i="15" s="1"/>
  <c r="B232" i="15"/>
  <c r="B254" i="15" s="1"/>
  <c r="B231" i="15"/>
  <c r="B253" i="15" s="1"/>
  <c r="B229" i="15"/>
  <c r="B251" i="15" s="1"/>
  <c r="B228" i="15"/>
  <c r="B250" i="15" s="1"/>
  <c r="B227" i="15"/>
  <c r="B249" i="15" s="1"/>
  <c r="B226" i="15"/>
  <c r="B248" i="15" s="1"/>
  <c r="F206" i="15"/>
  <c r="E206" i="15"/>
  <c r="D206" i="15"/>
  <c r="B207" i="15"/>
  <c r="B221" i="15" s="1"/>
  <c r="B206" i="15"/>
  <c r="B220" i="15" s="1"/>
  <c r="B205" i="15"/>
  <c r="B219" i="15" s="1"/>
  <c r="B204" i="15"/>
  <c r="B218" i="15" s="1"/>
  <c r="B203" i="15"/>
  <c r="B217" i="15" s="1"/>
  <c r="B202" i="15"/>
  <c r="B216" i="15" s="1"/>
  <c r="B201" i="15"/>
  <c r="B215" i="15" s="1"/>
  <c r="B200" i="15"/>
  <c r="B214" i="15" s="1"/>
  <c r="B199" i="15"/>
  <c r="B213" i="15" s="1"/>
  <c r="B198" i="15"/>
  <c r="B212" i="15" s="1"/>
  <c r="B197" i="15"/>
  <c r="B211" i="15" s="1"/>
  <c r="B196" i="15"/>
  <c r="B210" i="15" s="1"/>
  <c r="H165" i="15"/>
  <c r="I165" i="15" s="1"/>
  <c r="J165" i="15" s="1"/>
  <c r="K165" i="15" s="1"/>
  <c r="L165" i="15" s="1"/>
  <c r="M165" i="15" s="1"/>
  <c r="N165" i="15" s="1"/>
  <c r="O165" i="15" s="1"/>
  <c r="P165" i="15" s="1"/>
  <c r="Q165" i="15" s="1"/>
  <c r="L521" i="15" l="1"/>
  <c r="L526" i="15" s="1"/>
  <c r="J239" i="15"/>
  <c r="I154" i="15"/>
  <c r="C105" i="4"/>
  <c r="F320" i="15" s="1"/>
  <c r="C104" i="4"/>
  <c r="F319" i="15" s="1"/>
  <c r="C103" i="4"/>
  <c r="F318" i="15" s="1"/>
  <c r="C102" i="4"/>
  <c r="F317" i="15" s="1"/>
  <c r="C101" i="4"/>
  <c r="F316" i="15" s="1"/>
  <c r="D123" i="16"/>
  <c r="E123" i="16" s="1"/>
  <c r="E131" i="16" s="1"/>
  <c r="D122" i="16"/>
  <c r="E122" i="16" s="1"/>
  <c r="D121" i="16"/>
  <c r="E121" i="16" s="1"/>
  <c r="D120" i="16"/>
  <c r="E120" i="16" s="1"/>
  <c r="D119" i="16"/>
  <c r="E119" i="16" s="1"/>
  <c r="D118" i="16"/>
  <c r="E118" i="16" s="1"/>
  <c r="D117" i="16"/>
  <c r="E117" i="16" s="1"/>
  <c r="D116" i="16"/>
  <c r="E116" i="16" s="1"/>
  <c r="D115" i="16"/>
  <c r="E115" i="16" s="1"/>
  <c r="D114" i="16"/>
  <c r="E114" i="16" s="1"/>
  <c r="D113" i="16"/>
  <c r="E113" i="16" s="1"/>
  <c r="D112" i="16"/>
  <c r="E112" i="16" s="1"/>
  <c r="D111" i="16"/>
  <c r="E111" i="16" s="1"/>
  <c r="D110" i="16"/>
  <c r="E110" i="16" s="1"/>
  <c r="D109" i="16"/>
  <c r="E109" i="16" s="1"/>
  <c r="D108" i="16"/>
  <c r="E108" i="16" s="1"/>
  <c r="D107" i="16"/>
  <c r="E107" i="16" s="1"/>
  <c r="D106" i="16"/>
  <c r="E106" i="16" s="1"/>
  <c r="D105" i="16"/>
  <c r="E105" i="16" s="1"/>
  <c r="D104" i="16"/>
  <c r="E104" i="16" s="1"/>
  <c r="D103" i="16"/>
  <c r="E103" i="16" s="1"/>
  <c r="D102" i="16"/>
  <c r="E102" i="16" s="1"/>
  <c r="D101" i="16"/>
  <c r="E101" i="16" s="1"/>
  <c r="D100" i="16"/>
  <c r="E100" i="16" s="1"/>
  <c r="D99" i="16"/>
  <c r="E99" i="16" s="1"/>
  <c r="D98" i="16"/>
  <c r="E98" i="16" s="1"/>
  <c r="D97" i="16"/>
  <c r="E97" i="16" s="1"/>
  <c r="D96" i="16"/>
  <c r="E96" i="16" s="1"/>
  <c r="D95" i="16"/>
  <c r="E95" i="16" s="1"/>
  <c r="D94" i="16"/>
  <c r="E94" i="16" s="1"/>
  <c r="D93" i="16"/>
  <c r="E93" i="16" s="1"/>
  <c r="D92" i="16"/>
  <c r="E92" i="16" s="1"/>
  <c r="D91" i="16"/>
  <c r="E91" i="16" s="1"/>
  <c r="D90" i="16"/>
  <c r="E90" i="16" s="1"/>
  <c r="D89" i="16"/>
  <c r="E89" i="16" s="1"/>
  <c r="D88" i="16"/>
  <c r="E88" i="16" s="1"/>
  <c r="D87" i="16"/>
  <c r="E87" i="16" s="1"/>
  <c r="D86" i="16"/>
  <c r="E86" i="16" s="1"/>
  <c r="D85" i="16"/>
  <c r="E85" i="16" s="1"/>
  <c r="D84" i="16"/>
  <c r="E84" i="16" s="1"/>
  <c r="D83" i="16"/>
  <c r="E83" i="16" s="1"/>
  <c r="D82" i="16"/>
  <c r="E82" i="16" s="1"/>
  <c r="D81" i="16"/>
  <c r="E81" i="16" s="1"/>
  <c r="D80" i="16"/>
  <c r="E80" i="16" s="1"/>
  <c r="D79" i="16"/>
  <c r="E79" i="16" s="1"/>
  <c r="D78" i="16"/>
  <c r="E78" i="16" s="1"/>
  <c r="D77" i="16"/>
  <c r="E77" i="16" s="1"/>
  <c r="D76" i="16"/>
  <c r="E76" i="16" s="1"/>
  <c r="D75" i="16"/>
  <c r="E75" i="16" s="1"/>
  <c r="D74" i="16"/>
  <c r="E74" i="16" s="1"/>
  <c r="D73" i="16"/>
  <c r="E73" i="16" s="1"/>
  <c r="D72" i="16"/>
  <c r="E72" i="16" s="1"/>
  <c r="D71" i="16"/>
  <c r="E71" i="16" s="1"/>
  <c r="D70" i="16"/>
  <c r="E70" i="16" s="1"/>
  <c r="D69" i="16"/>
  <c r="E69" i="16" s="1"/>
  <c r="D68" i="16"/>
  <c r="E68" i="16" s="1"/>
  <c r="D67" i="16"/>
  <c r="E67" i="16" s="1"/>
  <c r="D66" i="16"/>
  <c r="E66" i="16" s="1"/>
  <c r="D65" i="16"/>
  <c r="E65" i="16" s="1"/>
  <c r="D64" i="16"/>
  <c r="E64" i="16" s="1"/>
  <c r="D63" i="16"/>
  <c r="E63" i="16" s="1"/>
  <c r="D62" i="16"/>
  <c r="E62" i="16" s="1"/>
  <c r="D61" i="16"/>
  <c r="E61" i="16" s="1"/>
  <c r="D60" i="16"/>
  <c r="E60" i="16" s="1"/>
  <c r="D59" i="16"/>
  <c r="E59" i="16" s="1"/>
  <c r="D58" i="16"/>
  <c r="E58" i="16" s="1"/>
  <c r="D57" i="16"/>
  <c r="E57" i="16" s="1"/>
  <c r="D56" i="16"/>
  <c r="E56" i="16" s="1"/>
  <c r="D55" i="16"/>
  <c r="E55" i="16" s="1"/>
  <c r="D54" i="16"/>
  <c r="E54" i="16" s="1"/>
  <c r="D53" i="16"/>
  <c r="E53" i="16" s="1"/>
  <c r="D52" i="16"/>
  <c r="E52" i="16" s="1"/>
  <c r="D51" i="16"/>
  <c r="E51" i="16" s="1"/>
  <c r="D50" i="16"/>
  <c r="E50" i="16" s="1"/>
  <c r="D49" i="16"/>
  <c r="E49" i="16" s="1"/>
  <c r="D48" i="16"/>
  <c r="E48" i="16" s="1"/>
  <c r="D47" i="16"/>
  <c r="E47" i="16" s="1"/>
  <c r="D46" i="16"/>
  <c r="E46" i="16" s="1"/>
  <c r="D45" i="16"/>
  <c r="E45" i="16" s="1"/>
  <c r="D44" i="16"/>
  <c r="E44" i="16" s="1"/>
  <c r="D43" i="16"/>
  <c r="E43" i="16" s="1"/>
  <c r="D42" i="16"/>
  <c r="E42" i="16" s="1"/>
  <c r="D41" i="16"/>
  <c r="E41" i="16" s="1"/>
  <c r="D40" i="16"/>
  <c r="E40" i="16" s="1"/>
  <c r="D39" i="16"/>
  <c r="E39" i="16" s="1"/>
  <c r="D38" i="16"/>
  <c r="E38" i="16" s="1"/>
  <c r="D37" i="16"/>
  <c r="E37" i="16" s="1"/>
  <c r="D36" i="16"/>
  <c r="E36" i="16" s="1"/>
  <c r="D35" i="16"/>
  <c r="E35" i="16" s="1"/>
  <c r="D34" i="16"/>
  <c r="E34" i="16" s="1"/>
  <c r="D33" i="16"/>
  <c r="E33" i="16" s="1"/>
  <c r="D32" i="16"/>
  <c r="E32" i="16" s="1"/>
  <c r="D31" i="16"/>
  <c r="E31" i="16" s="1"/>
  <c r="D30" i="16"/>
  <c r="E30" i="16" s="1"/>
  <c r="D29" i="16"/>
  <c r="E29" i="16" s="1"/>
  <c r="D28" i="16"/>
  <c r="E28" i="16" s="1"/>
  <c r="D27" i="16"/>
  <c r="E27" i="16" s="1"/>
  <c r="D26" i="16"/>
  <c r="E26" i="16" s="1"/>
  <c r="D25" i="16"/>
  <c r="E25" i="16" s="1"/>
  <c r="D24" i="16"/>
  <c r="E24" i="16" s="1"/>
  <c r="D23" i="16"/>
  <c r="E23" i="16" s="1"/>
  <c r="D22" i="16"/>
  <c r="E22" i="16" s="1"/>
  <c r="D21" i="16"/>
  <c r="E21" i="16" s="1"/>
  <c r="D20" i="16"/>
  <c r="E20" i="16" s="1"/>
  <c r="D19" i="16"/>
  <c r="E19" i="16" s="1"/>
  <c r="D18" i="16"/>
  <c r="E18" i="16" s="1"/>
  <c r="D17" i="16"/>
  <c r="E17" i="16" s="1"/>
  <c r="D16" i="16"/>
  <c r="E16" i="16" s="1"/>
  <c r="D15" i="16"/>
  <c r="E15" i="16" s="1"/>
  <c r="D14" i="16"/>
  <c r="E14" i="16" s="1"/>
  <c r="D13" i="16"/>
  <c r="E13" i="16" s="1"/>
  <c r="D12" i="16"/>
  <c r="E12" i="16" s="1"/>
  <c r="D11" i="16"/>
  <c r="E11" i="16" s="1"/>
  <c r="D10" i="16"/>
  <c r="E10" i="16" s="1"/>
  <c r="D9" i="16"/>
  <c r="E9" i="16" s="1"/>
  <c r="D8" i="16"/>
  <c r="E8" i="16" s="1"/>
  <c r="D7" i="16"/>
  <c r="E7" i="16" s="1"/>
  <c r="D6" i="16"/>
  <c r="E6" i="16" s="1"/>
  <c r="D5" i="16"/>
  <c r="E5" i="16" s="1"/>
  <c r="D4" i="16"/>
  <c r="E4" i="16" s="1"/>
  <c r="D3" i="16"/>
  <c r="E3" i="16" s="1"/>
  <c r="E132" i="16" s="1"/>
  <c r="M520" i="15" l="1"/>
  <c r="L44" i="15"/>
  <c r="K239" i="15"/>
  <c r="J154" i="15"/>
  <c r="E130" i="16"/>
  <c r="C133" i="16"/>
  <c r="F130" i="16" s="1"/>
  <c r="C97" i="4" s="1"/>
  <c r="F311" i="15" s="1"/>
  <c r="G311" i="15" s="1"/>
  <c r="E128" i="16"/>
  <c r="E129" i="16"/>
  <c r="H311" i="15" l="1"/>
  <c r="I311" i="15" s="1"/>
  <c r="J311" i="15" s="1"/>
  <c r="K311" i="15" s="1"/>
  <c r="L311" i="15" s="1"/>
  <c r="M311" i="15" s="1"/>
  <c r="N311" i="15" s="1"/>
  <c r="O311" i="15" s="1"/>
  <c r="P311" i="15" s="1"/>
  <c r="Q311" i="15" s="1"/>
  <c r="Q302" i="15" s="1"/>
  <c r="F128" i="16"/>
  <c r="C95" i="4" s="1"/>
  <c r="F309" i="15" s="1"/>
  <c r="G309" i="15" s="1"/>
  <c r="H309" i="15" s="1"/>
  <c r="I309" i="15" s="1"/>
  <c r="J309" i="15" s="1"/>
  <c r="K309" i="15" s="1"/>
  <c r="L309" i="15" s="1"/>
  <c r="M309" i="15" s="1"/>
  <c r="N309" i="15" s="1"/>
  <c r="O309" i="15" s="1"/>
  <c r="P309" i="15" s="1"/>
  <c r="Q309" i="15" s="1"/>
  <c r="F132" i="16"/>
  <c r="C99" i="4" s="1"/>
  <c r="F313" i="15" s="1"/>
  <c r="F129" i="16"/>
  <c r="C96" i="4" s="1"/>
  <c r="F310" i="15" s="1"/>
  <c r="G310" i="15" s="1"/>
  <c r="H310" i="15" s="1"/>
  <c r="I310" i="15" s="1"/>
  <c r="J310" i="15" s="1"/>
  <c r="K310" i="15" s="1"/>
  <c r="L310" i="15" s="1"/>
  <c r="M310" i="15" s="1"/>
  <c r="N310" i="15" s="1"/>
  <c r="O310" i="15" s="1"/>
  <c r="P310" i="15" s="1"/>
  <c r="Q310" i="15" s="1"/>
  <c r="Q301" i="15" s="1"/>
  <c r="M521" i="15"/>
  <c r="M526" i="15" s="1"/>
  <c r="L239" i="15"/>
  <c r="K154" i="15"/>
  <c r="E133" i="16"/>
  <c r="D133" i="16" s="1"/>
  <c r="F131" i="16"/>
  <c r="C98" i="4" s="1"/>
  <c r="F312" i="15" s="1"/>
  <c r="G312" i="15" s="1"/>
  <c r="H312" i="15" s="1"/>
  <c r="I312" i="15" s="1"/>
  <c r="J312" i="15" s="1"/>
  <c r="K312" i="15" s="1"/>
  <c r="L312" i="15" s="1"/>
  <c r="M312" i="15" s="1"/>
  <c r="N312" i="15" s="1"/>
  <c r="O312" i="15" s="1"/>
  <c r="P312" i="15" s="1"/>
  <c r="Q312" i="15" s="1"/>
  <c r="C93" i="4"/>
  <c r="F298" i="15" s="1"/>
  <c r="G313" i="15" l="1"/>
  <c r="H313" i="15" s="1"/>
  <c r="F303" i="15"/>
  <c r="F330" i="15" s="1"/>
  <c r="F301" i="15"/>
  <c r="F328" i="15" s="1"/>
  <c r="F304" i="15"/>
  <c r="F331" i="15" s="1"/>
  <c r="F302" i="15"/>
  <c r="F329" i="15" s="1"/>
  <c r="F300" i="15"/>
  <c r="F327" i="15" s="1"/>
  <c r="N520" i="15"/>
  <c r="M44" i="15"/>
  <c r="M54" i="15"/>
  <c r="M239" i="15" s="1"/>
  <c r="F52" i="15"/>
  <c r="E52" i="15"/>
  <c r="D52" i="15"/>
  <c r="H343" i="15"/>
  <c r="J343" i="15" s="1"/>
  <c r="K343" i="15" s="1"/>
  <c r="L343" i="15" s="1"/>
  <c r="M343" i="15" s="1"/>
  <c r="N343" i="15" s="1"/>
  <c r="O343" i="15" s="1"/>
  <c r="P343" i="15" s="1"/>
  <c r="Q343" i="15" s="1"/>
  <c r="H276" i="15"/>
  <c r="I276" i="15" s="1"/>
  <c r="J276" i="15" s="1"/>
  <c r="K276" i="15" s="1"/>
  <c r="L276" i="15" s="1"/>
  <c r="M276" i="15" s="1"/>
  <c r="N276" i="15" s="1"/>
  <c r="O276" i="15" s="1"/>
  <c r="P276" i="15" s="1"/>
  <c r="Q276" i="15" s="1"/>
  <c r="H507" i="15"/>
  <c r="I507" i="15" s="1"/>
  <c r="J507" i="15" s="1"/>
  <c r="K507" i="15" s="1"/>
  <c r="L507" i="15" s="1"/>
  <c r="M507" i="15" s="1"/>
  <c r="N507" i="15" s="1"/>
  <c r="O507" i="15" s="1"/>
  <c r="P507" i="15" s="1"/>
  <c r="Q507" i="15" s="1"/>
  <c r="G112" i="15"/>
  <c r="G109" i="15"/>
  <c r="H479" i="15"/>
  <c r="I479" i="15" s="1"/>
  <c r="J479" i="15" s="1"/>
  <c r="K479" i="15" s="1"/>
  <c r="L479" i="15" s="1"/>
  <c r="M479" i="15" s="1"/>
  <c r="N479" i="15" s="1"/>
  <c r="O479" i="15" s="1"/>
  <c r="P479" i="15" s="1"/>
  <c r="Q479" i="15" s="1"/>
  <c r="H476" i="15"/>
  <c r="I476" i="15" s="1"/>
  <c r="J476" i="15" s="1"/>
  <c r="K476" i="15" s="1"/>
  <c r="L476" i="15" s="1"/>
  <c r="M476" i="15" s="1"/>
  <c r="N476" i="15" s="1"/>
  <c r="O476" i="15" s="1"/>
  <c r="P476" i="15" s="1"/>
  <c r="Q476" i="15" s="1"/>
  <c r="H459" i="15"/>
  <c r="I459" i="15" s="1"/>
  <c r="J459" i="15" s="1"/>
  <c r="K459" i="15" s="1"/>
  <c r="L459" i="15" s="1"/>
  <c r="M459" i="15" s="1"/>
  <c r="N459" i="15" s="1"/>
  <c r="O459" i="15" s="1"/>
  <c r="P459" i="15" s="1"/>
  <c r="Q459" i="15" s="1"/>
  <c r="H460" i="15"/>
  <c r="I460" i="15" s="1"/>
  <c r="J460" i="15" s="1"/>
  <c r="K460" i="15" s="1"/>
  <c r="L460" i="15" s="1"/>
  <c r="M460" i="15" s="1"/>
  <c r="N460" i="15" s="1"/>
  <c r="O460" i="15" s="1"/>
  <c r="P460" i="15" s="1"/>
  <c r="Q460" i="15" s="1"/>
  <c r="H448" i="15"/>
  <c r="I448" i="15" s="1"/>
  <c r="J448" i="15" s="1"/>
  <c r="K448" i="15" s="1"/>
  <c r="L448" i="15" s="1"/>
  <c r="M448" i="15" s="1"/>
  <c r="N448" i="15" s="1"/>
  <c r="O448" i="15" s="1"/>
  <c r="P448" i="15" s="1"/>
  <c r="Q448" i="15" s="1"/>
  <c r="H447" i="15"/>
  <c r="I447" i="15" s="1"/>
  <c r="J447" i="15" s="1"/>
  <c r="K447" i="15" s="1"/>
  <c r="L447" i="15" s="1"/>
  <c r="M447" i="15" s="1"/>
  <c r="N447" i="15" s="1"/>
  <c r="O447" i="15" s="1"/>
  <c r="P447" i="15" s="1"/>
  <c r="Q447" i="15" s="1"/>
  <c r="H446" i="15"/>
  <c r="I446" i="15" s="1"/>
  <c r="J446" i="15" s="1"/>
  <c r="K446" i="15" s="1"/>
  <c r="L446" i="15" s="1"/>
  <c r="M446" i="15" s="1"/>
  <c r="N446" i="15" s="1"/>
  <c r="O446" i="15" s="1"/>
  <c r="P446" i="15" s="1"/>
  <c r="Q446" i="15" s="1"/>
  <c r="H445" i="15"/>
  <c r="I445" i="15" s="1"/>
  <c r="J445" i="15" s="1"/>
  <c r="K445" i="15" s="1"/>
  <c r="L445" i="15" s="1"/>
  <c r="M445" i="15" s="1"/>
  <c r="N445" i="15" s="1"/>
  <c r="H438" i="15"/>
  <c r="M432" i="15"/>
  <c r="L432" i="15"/>
  <c r="K432" i="15"/>
  <c r="J432" i="15"/>
  <c r="I432" i="15"/>
  <c r="G432" i="15"/>
  <c r="H429" i="15"/>
  <c r="I429" i="15" s="1"/>
  <c r="J429" i="15" s="1"/>
  <c r="K429" i="15" s="1"/>
  <c r="L429" i="15" s="1"/>
  <c r="M429" i="15" s="1"/>
  <c r="N429" i="15" s="1"/>
  <c r="O429" i="15" s="1"/>
  <c r="P429" i="15" s="1"/>
  <c r="Q429" i="15" s="1"/>
  <c r="G430" i="15"/>
  <c r="H430" i="15" s="1"/>
  <c r="I430" i="15" s="1"/>
  <c r="J430" i="15" s="1"/>
  <c r="K430" i="15" s="1"/>
  <c r="L430" i="15" s="1"/>
  <c r="M430" i="15" s="1"/>
  <c r="N430" i="15" s="1"/>
  <c r="O430" i="15" s="1"/>
  <c r="P430" i="15" s="1"/>
  <c r="Q430" i="15" s="1"/>
  <c r="G89" i="15"/>
  <c r="H378" i="15"/>
  <c r="H89" i="15" s="1"/>
  <c r="G354" i="15"/>
  <c r="I353" i="15"/>
  <c r="J353" i="15" s="1"/>
  <c r="K353" i="15" s="1"/>
  <c r="L353" i="15" s="1"/>
  <c r="M353" i="15" s="1"/>
  <c r="N353" i="15" s="1"/>
  <c r="M410" i="15"/>
  <c r="L410" i="15"/>
  <c r="K410" i="15"/>
  <c r="J410" i="15"/>
  <c r="I410" i="15"/>
  <c r="H410" i="15"/>
  <c r="I313" i="15" l="1"/>
  <c r="J313" i="15" s="1"/>
  <c r="K313" i="15" s="1"/>
  <c r="L313" i="15" s="1"/>
  <c r="M313" i="15" s="1"/>
  <c r="N313" i="15" s="1"/>
  <c r="O313" i="15" s="1"/>
  <c r="P313" i="15" s="1"/>
  <c r="Q313" i="15" s="1"/>
  <c r="Q304" i="15" s="1"/>
  <c r="H354" i="15"/>
  <c r="I354" i="15" s="1"/>
  <c r="J354" i="15" s="1"/>
  <c r="K354" i="15" s="1"/>
  <c r="L354" i="15" s="1"/>
  <c r="M354" i="15" s="1"/>
  <c r="N354" i="15" s="1"/>
  <c r="O354" i="15" s="1"/>
  <c r="F306" i="15"/>
  <c r="C20" i="21"/>
  <c r="F326" i="15"/>
  <c r="F315" i="15" s="1"/>
  <c r="H274" i="15"/>
  <c r="I274" i="15" s="1"/>
  <c r="J274" i="15" s="1"/>
  <c r="K274" i="15" s="1"/>
  <c r="L274" i="15" s="1"/>
  <c r="M274" i="15" s="1"/>
  <c r="N274" i="15" s="1"/>
  <c r="O274" i="15" s="1"/>
  <c r="P274" i="15" s="1"/>
  <c r="Q274" i="15" s="1"/>
  <c r="Q747" i="15" s="1"/>
  <c r="G317" i="15"/>
  <c r="G320" i="15"/>
  <c r="H320" i="15" s="1"/>
  <c r="G316" i="15"/>
  <c r="G318" i="15"/>
  <c r="G319" i="15"/>
  <c r="E51" i="15"/>
  <c r="E237" i="15"/>
  <c r="F51" i="15"/>
  <c r="F237" i="15"/>
  <c r="D51" i="15"/>
  <c r="D237" i="15"/>
  <c r="N521" i="15"/>
  <c r="N526" i="15" s="1"/>
  <c r="O445" i="15"/>
  <c r="O353" i="15"/>
  <c r="M154" i="15"/>
  <c r="N54" i="15"/>
  <c r="G52" i="15"/>
  <c r="G237" i="15" s="1"/>
  <c r="H112" i="15"/>
  <c r="H500" i="15"/>
  <c r="I438" i="15"/>
  <c r="I378" i="15"/>
  <c r="F112" i="15"/>
  <c r="F501" i="15" s="1"/>
  <c r="E112" i="15"/>
  <c r="E501" i="15" s="1"/>
  <c r="D112" i="15"/>
  <c r="D501" i="15" s="1"/>
  <c r="F111" i="15"/>
  <c r="E111" i="15"/>
  <c r="D111" i="15"/>
  <c r="F110" i="15"/>
  <c r="E110" i="15"/>
  <c r="D110" i="15"/>
  <c r="F109" i="15"/>
  <c r="F500" i="15" s="1"/>
  <c r="E109" i="15"/>
  <c r="E500" i="15" s="1"/>
  <c r="D109" i="15"/>
  <c r="D500" i="15" s="1"/>
  <c r="F106" i="15"/>
  <c r="E106" i="15"/>
  <c r="D106" i="15"/>
  <c r="F105" i="15"/>
  <c r="E105" i="15"/>
  <c r="D105" i="15"/>
  <c r="F96" i="15"/>
  <c r="E96" i="15"/>
  <c r="D96" i="15"/>
  <c r="F95" i="15"/>
  <c r="E95" i="15"/>
  <c r="D95" i="15"/>
  <c r="F94" i="15"/>
  <c r="E94" i="15"/>
  <c r="D94" i="15"/>
  <c r="F92" i="15"/>
  <c r="F381" i="15" s="1"/>
  <c r="E92" i="15"/>
  <c r="E381" i="15" s="1"/>
  <c r="D92" i="15"/>
  <c r="D381" i="15" s="1"/>
  <c r="F90" i="15"/>
  <c r="F379" i="15" s="1"/>
  <c r="E90" i="15"/>
  <c r="E379" i="15" s="1"/>
  <c r="D90" i="15"/>
  <c r="D379" i="15" s="1"/>
  <c r="F84" i="15"/>
  <c r="F373" i="15" s="1"/>
  <c r="E84" i="15"/>
  <c r="E373" i="15" s="1"/>
  <c r="D84" i="15"/>
  <c r="D373" i="15" s="1"/>
  <c r="F89" i="15"/>
  <c r="F378" i="15" s="1"/>
  <c r="E89" i="15"/>
  <c r="E378" i="15" s="1"/>
  <c r="D89" i="15"/>
  <c r="D378" i="15" s="1"/>
  <c r="F91" i="15"/>
  <c r="F380" i="15" s="1"/>
  <c r="E91" i="15"/>
  <c r="E380" i="15" s="1"/>
  <c r="D91" i="15"/>
  <c r="D380" i="15" s="1"/>
  <c r="F88" i="15"/>
  <c r="F377" i="15" s="1"/>
  <c r="E88" i="15"/>
  <c r="E377" i="15" s="1"/>
  <c r="D88" i="15"/>
  <c r="D377" i="15" s="1"/>
  <c r="F87" i="15"/>
  <c r="F376" i="15" s="1"/>
  <c r="E87" i="15"/>
  <c r="E376" i="15" s="1"/>
  <c r="D87" i="15"/>
  <c r="D376" i="15" s="1"/>
  <c r="F86" i="15"/>
  <c r="F375" i="15" s="1"/>
  <c r="E86" i="15"/>
  <c r="E375" i="15" s="1"/>
  <c r="D86" i="15"/>
  <c r="D375" i="15" s="1"/>
  <c r="F85" i="15"/>
  <c r="F374" i="15" s="1"/>
  <c r="E85" i="15"/>
  <c r="E374" i="15" s="1"/>
  <c r="D85" i="15"/>
  <c r="D374" i="15" s="1"/>
  <c r="F83" i="15"/>
  <c r="F372" i="15" s="1"/>
  <c r="E83" i="15"/>
  <c r="E372" i="15" s="1"/>
  <c r="D83" i="15"/>
  <c r="D372" i="15" s="1"/>
  <c r="F82" i="15"/>
  <c r="F371" i="15" s="1"/>
  <c r="E82" i="15"/>
  <c r="E371" i="15" s="1"/>
  <c r="D82" i="15"/>
  <c r="D371" i="15" s="1"/>
  <c r="F81" i="15"/>
  <c r="F370" i="15" s="1"/>
  <c r="E81" i="15"/>
  <c r="E370" i="15" s="1"/>
  <c r="D81" i="15"/>
  <c r="D370" i="15" s="1"/>
  <c r="F73" i="15"/>
  <c r="E73" i="15"/>
  <c r="D73" i="15"/>
  <c r="F72" i="15"/>
  <c r="E72" i="15"/>
  <c r="D72" i="15"/>
  <c r="F69" i="15"/>
  <c r="E69" i="15"/>
  <c r="D69" i="15"/>
  <c r="F68" i="15"/>
  <c r="E64" i="26" s="1"/>
  <c r="E68" i="15"/>
  <c r="D64" i="26" s="1"/>
  <c r="D68" i="15"/>
  <c r="C64" i="26" s="1"/>
  <c r="F67" i="15"/>
  <c r="E63" i="26" s="1"/>
  <c r="E67" i="15"/>
  <c r="D63" i="26" s="1"/>
  <c r="D67" i="15"/>
  <c r="C63" i="26" s="1"/>
  <c r="F66" i="15"/>
  <c r="E62" i="26" s="1"/>
  <c r="E66" i="15"/>
  <c r="D62" i="26" s="1"/>
  <c r="D66" i="15"/>
  <c r="C62" i="26" s="1"/>
  <c r="F65" i="15"/>
  <c r="E61" i="26" s="1"/>
  <c r="E65" i="15"/>
  <c r="D61" i="26" s="1"/>
  <c r="D65" i="15"/>
  <c r="C61" i="26" s="1"/>
  <c r="F64" i="15"/>
  <c r="E59" i="26" s="1"/>
  <c r="E64" i="15"/>
  <c r="D64" i="15"/>
  <c r="E63" i="15"/>
  <c r="D63" i="15"/>
  <c r="F58" i="15"/>
  <c r="E58" i="15"/>
  <c r="E243" i="15" s="1"/>
  <c r="D58" i="15"/>
  <c r="D243" i="15" s="1"/>
  <c r="F56" i="15"/>
  <c r="E56" i="15"/>
  <c r="D56" i="15"/>
  <c r="F48" i="15"/>
  <c r="E48" i="15"/>
  <c r="D48" i="15"/>
  <c r="F47" i="15"/>
  <c r="E47" i="15"/>
  <c r="D47" i="15"/>
  <c r="F46" i="15"/>
  <c r="E46" i="15"/>
  <c r="D46" i="15"/>
  <c r="F45" i="15"/>
  <c r="E45" i="15"/>
  <c r="D45" i="15"/>
  <c r="F43" i="15"/>
  <c r="E43" i="15"/>
  <c r="D43" i="15"/>
  <c r="F40" i="15"/>
  <c r="G40" i="15" s="1"/>
  <c r="E40" i="15"/>
  <c r="D40" i="15"/>
  <c r="F39" i="15"/>
  <c r="E39" i="15"/>
  <c r="D39" i="15"/>
  <c r="F38" i="15"/>
  <c r="E38" i="15"/>
  <c r="D38" i="15"/>
  <c r="F33" i="15"/>
  <c r="E33" i="15"/>
  <c r="D43" i="26" s="1"/>
  <c r="D33" i="15"/>
  <c r="C43" i="26" s="1"/>
  <c r="F32" i="15"/>
  <c r="E32" i="15"/>
  <c r="D32" i="15"/>
  <c r="F31" i="15"/>
  <c r="E31" i="15"/>
  <c r="D31" i="15"/>
  <c r="F28" i="15"/>
  <c r="F470" i="15" s="1"/>
  <c r="E28" i="15"/>
  <c r="E470" i="15" s="1"/>
  <c r="E494" i="15" s="1"/>
  <c r="D28" i="15"/>
  <c r="D470" i="15" s="1"/>
  <c r="D494" i="15" s="1"/>
  <c r="F27" i="15"/>
  <c r="F469" i="15" s="1"/>
  <c r="E27" i="15"/>
  <c r="E469" i="15" s="1"/>
  <c r="E493" i="15" s="1"/>
  <c r="D27" i="15"/>
  <c r="D469" i="15" s="1"/>
  <c r="D493" i="15" s="1"/>
  <c r="F24" i="15"/>
  <c r="G24" i="15" s="1"/>
  <c r="H24" i="15" s="1"/>
  <c r="I24" i="15" s="1"/>
  <c r="J24" i="15" s="1"/>
  <c r="K24" i="15" s="1"/>
  <c r="L24" i="15" s="1"/>
  <c r="M24" i="15" s="1"/>
  <c r="N24" i="15" s="1"/>
  <c r="O24" i="15" s="1"/>
  <c r="P24" i="15" s="1"/>
  <c r="Q24" i="15" s="1"/>
  <c r="E24" i="15"/>
  <c r="D24" i="15"/>
  <c r="F23" i="15"/>
  <c r="F419" i="15" s="1"/>
  <c r="E23" i="15"/>
  <c r="E419" i="15" s="1"/>
  <c r="D23" i="15"/>
  <c r="D419" i="15" s="1"/>
  <c r="F22" i="15"/>
  <c r="F418" i="15" s="1"/>
  <c r="E22" i="15"/>
  <c r="E418" i="15" s="1"/>
  <c r="D22" i="15"/>
  <c r="D418" i="15" s="1"/>
  <c r="F21" i="15"/>
  <c r="F417" i="15" s="1"/>
  <c r="E21" i="15"/>
  <c r="E417" i="15" s="1"/>
  <c r="D21" i="15"/>
  <c r="D417" i="15" s="1"/>
  <c r="F20" i="15"/>
  <c r="F416" i="15" s="1"/>
  <c r="E20" i="15"/>
  <c r="E416" i="15" s="1"/>
  <c r="D20" i="15"/>
  <c r="D416" i="15" s="1"/>
  <c r="F19" i="15"/>
  <c r="F415" i="15" s="1"/>
  <c r="E19" i="15"/>
  <c r="E415" i="15" s="1"/>
  <c r="D19" i="15"/>
  <c r="D415" i="15" s="1"/>
  <c r="F18" i="15"/>
  <c r="F414" i="15" s="1"/>
  <c r="E18" i="15"/>
  <c r="E414" i="15" s="1"/>
  <c r="D18" i="15"/>
  <c r="D414" i="15" s="1"/>
  <c r="F17" i="15"/>
  <c r="F413" i="15" s="1"/>
  <c r="E17" i="15"/>
  <c r="E413" i="15" s="1"/>
  <c r="D17" i="15"/>
  <c r="D413" i="15" s="1"/>
  <c r="F14" i="15"/>
  <c r="E14" i="15"/>
  <c r="D14" i="15"/>
  <c r="F13" i="15"/>
  <c r="E13" i="15"/>
  <c r="D13" i="15"/>
  <c r="C372" i="14"/>
  <c r="C371" i="14"/>
  <c r="C370" i="14"/>
  <c r="C369" i="14"/>
  <c r="Q300" i="15" l="1"/>
  <c r="Q306" i="15" s="1"/>
  <c r="N239" i="15"/>
  <c r="O54" i="15"/>
  <c r="P54" i="15" s="1"/>
  <c r="C59" i="26"/>
  <c r="C58" i="26" s="1"/>
  <c r="C66" i="26" s="1"/>
  <c r="C73" i="26" s="1"/>
  <c r="D59" i="26"/>
  <c r="D58" i="26" s="1"/>
  <c r="D66" i="26" s="1"/>
  <c r="D73" i="26" s="1"/>
  <c r="E58" i="26"/>
  <c r="E66" i="26" s="1"/>
  <c r="E73" i="26" s="1"/>
  <c r="F241" i="15"/>
  <c r="E16" i="26"/>
  <c r="E38" i="26" s="1"/>
  <c r="G33" i="15"/>
  <c r="E43" i="26"/>
  <c r="D236" i="15"/>
  <c r="B29" i="25" s="1"/>
  <c r="C8" i="26"/>
  <c r="E236" i="15"/>
  <c r="D29" i="25" s="1"/>
  <c r="D8" i="26"/>
  <c r="D241" i="15"/>
  <c r="C16" i="26"/>
  <c r="C38" i="26" s="1"/>
  <c r="E241" i="15"/>
  <c r="D16" i="26"/>
  <c r="D38" i="26" s="1"/>
  <c r="F236" i="15"/>
  <c r="G29" i="25" s="1"/>
  <c r="E8" i="26"/>
  <c r="H316" i="15"/>
  <c r="H319" i="15"/>
  <c r="H317" i="15"/>
  <c r="H318" i="15"/>
  <c r="E78" i="15"/>
  <c r="F78" i="15"/>
  <c r="D78" i="15"/>
  <c r="E107" i="15"/>
  <c r="D107" i="15"/>
  <c r="F107" i="15"/>
  <c r="E421" i="15"/>
  <c r="F421" i="15"/>
  <c r="H52" i="15"/>
  <c r="H237" i="15" s="1"/>
  <c r="O520" i="15"/>
  <c r="N44" i="15"/>
  <c r="N154" i="15"/>
  <c r="P353" i="15"/>
  <c r="Q353" i="15" s="1"/>
  <c r="P445" i="15"/>
  <c r="Q445" i="15" s="1"/>
  <c r="P354" i="15"/>
  <c r="Q354" i="15" s="1"/>
  <c r="G58" i="15"/>
  <c r="F243" i="15"/>
  <c r="G158" i="15"/>
  <c r="H40" i="15"/>
  <c r="G134" i="15"/>
  <c r="I112" i="15"/>
  <c r="I500" i="15"/>
  <c r="H109" i="15"/>
  <c r="G43" i="15"/>
  <c r="G146" i="15" s="1"/>
  <c r="G470" i="15"/>
  <c r="F494" i="15"/>
  <c r="G469" i="15"/>
  <c r="F493" i="15"/>
  <c r="F464" i="15"/>
  <c r="D451" i="15"/>
  <c r="D445" i="15"/>
  <c r="F453" i="15"/>
  <c r="E451" i="15"/>
  <c r="E445" i="15"/>
  <c r="D454" i="15"/>
  <c r="D463" i="15"/>
  <c r="E464" i="15"/>
  <c r="D452" i="15"/>
  <c r="E453" i="15"/>
  <c r="F454" i="15"/>
  <c r="E463" i="15"/>
  <c r="E452" i="15"/>
  <c r="F463" i="15"/>
  <c r="F452" i="15"/>
  <c r="D464" i="15"/>
  <c r="F451" i="15"/>
  <c r="F445" i="15"/>
  <c r="D453" i="15"/>
  <c r="E454" i="15"/>
  <c r="J438" i="15"/>
  <c r="D440" i="15"/>
  <c r="D436" i="15"/>
  <c r="E440" i="15"/>
  <c r="F436" i="15"/>
  <c r="E436" i="15"/>
  <c r="F440" i="15"/>
  <c r="D369" i="15"/>
  <c r="J378" i="15"/>
  <c r="I89" i="15"/>
  <c r="E369" i="15"/>
  <c r="F369" i="15"/>
  <c r="F384" i="15" s="1"/>
  <c r="Q384" i="15" s="1"/>
  <c r="Q370" i="15" s="1"/>
  <c r="D291" i="15"/>
  <c r="E292" i="15"/>
  <c r="F293" i="15"/>
  <c r="D295" i="15"/>
  <c r="E296" i="15"/>
  <c r="D290" i="15"/>
  <c r="E291" i="15"/>
  <c r="F292" i="15"/>
  <c r="D294" i="15"/>
  <c r="E295" i="15"/>
  <c r="F296" i="15"/>
  <c r="E290" i="15"/>
  <c r="F291" i="15"/>
  <c r="D293" i="15"/>
  <c r="E294" i="15"/>
  <c r="F295" i="15"/>
  <c r="F290" i="15"/>
  <c r="D292" i="15"/>
  <c r="E293" i="15"/>
  <c r="F294" i="15"/>
  <c r="D296" i="15"/>
  <c r="E26" i="15"/>
  <c r="E229" i="15" s="1"/>
  <c r="D26" i="25" s="1"/>
  <c r="E104" i="15"/>
  <c r="D108" i="15"/>
  <c r="E108" i="15"/>
  <c r="D26" i="15"/>
  <c r="D229" i="15" s="1"/>
  <c r="B26" i="25" s="1"/>
  <c r="D104" i="15"/>
  <c r="F108" i="15"/>
  <c r="F104" i="15"/>
  <c r="F37" i="15"/>
  <c r="D12" i="15"/>
  <c r="D606" i="15" s="1"/>
  <c r="F26" i="15"/>
  <c r="F229" i="15" s="1"/>
  <c r="G26" i="25" s="1"/>
  <c r="E12" i="15"/>
  <c r="E606" i="15" s="1"/>
  <c r="F62" i="15"/>
  <c r="F12" i="15"/>
  <c r="F606" i="15" s="1"/>
  <c r="D80" i="15"/>
  <c r="E80" i="15"/>
  <c r="D71" i="15"/>
  <c r="C68" i="26" s="1"/>
  <c r="F16" i="15"/>
  <c r="D30" i="15"/>
  <c r="F42" i="15"/>
  <c r="F233" i="15" s="1"/>
  <c r="E71" i="15"/>
  <c r="D68" i="26" s="1"/>
  <c r="F80" i="15"/>
  <c r="E30" i="15"/>
  <c r="D37" i="15"/>
  <c r="F71" i="15"/>
  <c r="E68" i="26" s="1"/>
  <c r="D16" i="15"/>
  <c r="F30" i="15"/>
  <c r="E37" i="15"/>
  <c r="D42" i="15"/>
  <c r="D233" i="15" s="1"/>
  <c r="D62" i="15"/>
  <c r="D616" i="15" s="1"/>
  <c r="E16" i="15"/>
  <c r="E42" i="15"/>
  <c r="E233" i="15" s="1"/>
  <c r="E62" i="15"/>
  <c r="F335" i="15"/>
  <c r="F724" i="15" s="1"/>
  <c r="C364" i="11"/>
  <c r="C357" i="11"/>
  <c r="C355" i="11"/>
  <c r="C354" i="11"/>
  <c r="C352" i="11"/>
  <c r="C351" i="11" s="1"/>
  <c r="C342" i="11"/>
  <c r="C350" i="11" s="1"/>
  <c r="C341" i="11"/>
  <c r="D97" i="11"/>
  <c r="C348" i="11" s="1"/>
  <c r="C97" i="11"/>
  <c r="O239" i="15" l="1"/>
  <c r="Q81" i="15"/>
  <c r="Q451" i="15" s="1"/>
  <c r="E259" i="15"/>
  <c r="F259" i="15"/>
  <c r="F29" i="25"/>
  <c r="I29" i="25"/>
  <c r="F258" i="15"/>
  <c r="E258" i="15"/>
  <c r="F386" i="15"/>
  <c r="Q386" i="15" s="1"/>
  <c r="Q372" i="15" s="1"/>
  <c r="Q83" i="15" s="1"/>
  <c r="F385" i="15"/>
  <c r="Q385" i="15" s="1"/>
  <c r="Q371" i="15" s="1"/>
  <c r="Q82" i="15" s="1"/>
  <c r="D27" i="26"/>
  <c r="H33" i="15"/>
  <c r="F43" i="26"/>
  <c r="E27" i="26"/>
  <c r="C27" i="26"/>
  <c r="J384" i="15"/>
  <c r="N384" i="15"/>
  <c r="K384" i="15"/>
  <c r="O384" i="15"/>
  <c r="I384" i="15"/>
  <c r="I370" i="15" s="1"/>
  <c r="P384" i="15"/>
  <c r="M384" i="15"/>
  <c r="L384" i="15"/>
  <c r="F387" i="15"/>
  <c r="Q387" i="15" s="1"/>
  <c r="Q373" i="15" s="1"/>
  <c r="Q84" i="15" s="1"/>
  <c r="F391" i="15"/>
  <c r="Q391" i="15" s="1"/>
  <c r="Q377" i="15" s="1"/>
  <c r="Q88" i="15" s="1"/>
  <c r="F388" i="15"/>
  <c r="Q388" i="15" s="1"/>
  <c r="Q374" i="15" s="1"/>
  <c r="Q85" i="15" s="1"/>
  <c r="F390" i="15"/>
  <c r="Q390" i="15" s="1"/>
  <c r="Q376" i="15" s="1"/>
  <c r="Q87" i="15" s="1"/>
  <c r="F392" i="15"/>
  <c r="Q392" i="15" s="1"/>
  <c r="F395" i="15"/>
  <c r="Q395" i="15" s="1"/>
  <c r="Q381" i="15" s="1"/>
  <c r="Q92" i="15" s="1"/>
  <c r="F389" i="15"/>
  <c r="Q389" i="15" s="1"/>
  <c r="Q375" i="15" s="1"/>
  <c r="Q86" i="15" s="1"/>
  <c r="F393" i="15"/>
  <c r="Q393" i="15" s="1"/>
  <c r="Q379" i="15" s="1"/>
  <c r="Q90" i="15" s="1"/>
  <c r="F394" i="15"/>
  <c r="Q394" i="15" s="1"/>
  <c r="Q380" i="15" s="1"/>
  <c r="Q91" i="15" s="1"/>
  <c r="F26" i="25"/>
  <c r="I26" i="25"/>
  <c r="E435" i="15"/>
  <c r="D435" i="15"/>
  <c r="G431" i="15"/>
  <c r="F432" i="15"/>
  <c r="F435" i="15"/>
  <c r="F437" i="15"/>
  <c r="I318" i="15"/>
  <c r="F77" i="15"/>
  <c r="F356" i="15" s="1"/>
  <c r="E77" i="15"/>
  <c r="E356" i="15" s="1"/>
  <c r="D77" i="15"/>
  <c r="D356" i="15" s="1"/>
  <c r="C349" i="11"/>
  <c r="C361" i="11" s="1"/>
  <c r="D410" i="15"/>
  <c r="F612" i="15"/>
  <c r="F613" i="15"/>
  <c r="E615" i="15"/>
  <c r="E612" i="15"/>
  <c r="F611" i="15"/>
  <c r="F616" i="15"/>
  <c r="D615" i="15"/>
  <c r="E614" i="15"/>
  <c r="D612" i="15"/>
  <c r="E616" i="15"/>
  <c r="E611" i="15"/>
  <c r="E613" i="15"/>
  <c r="F614" i="15"/>
  <c r="D613" i="15"/>
  <c r="F615" i="15"/>
  <c r="E600" i="15"/>
  <c r="D204" i="15"/>
  <c r="E203" i="15"/>
  <c r="F600" i="15"/>
  <c r="D600" i="15"/>
  <c r="F203" i="15"/>
  <c r="E204" i="15"/>
  <c r="F204" i="15"/>
  <c r="D611" i="15"/>
  <c r="D203" i="15"/>
  <c r="D614" i="15"/>
  <c r="E585" i="15"/>
  <c r="E589" i="15"/>
  <c r="E599" i="15" s="1"/>
  <c r="F585" i="15"/>
  <c r="F589" i="15"/>
  <c r="F599" i="15" s="1"/>
  <c r="D585" i="15"/>
  <c r="D589" i="15"/>
  <c r="D599" i="15" s="1"/>
  <c r="F580" i="15"/>
  <c r="F575" i="15"/>
  <c r="E575" i="15"/>
  <c r="E580" i="15"/>
  <c r="D580" i="15"/>
  <c r="D575" i="15"/>
  <c r="E579" i="15"/>
  <c r="E574" i="15"/>
  <c r="D579" i="15"/>
  <c r="D574" i="15"/>
  <c r="F574" i="15"/>
  <c r="F579" i="15"/>
  <c r="F227" i="15"/>
  <c r="G24" i="25" s="1"/>
  <c r="E227" i="15"/>
  <c r="D24" i="25" s="1"/>
  <c r="D227" i="15"/>
  <c r="B24" i="25" s="1"/>
  <c r="I52" i="15"/>
  <c r="I237" i="15" s="1"/>
  <c r="O521" i="15"/>
  <c r="O526" i="15" s="1"/>
  <c r="F725" i="15"/>
  <c r="F251" i="15"/>
  <c r="F255" i="15"/>
  <c r="E251" i="15"/>
  <c r="E255" i="15"/>
  <c r="P239" i="15"/>
  <c r="O154" i="15"/>
  <c r="J112" i="15"/>
  <c r="E430" i="15"/>
  <c r="E232" i="15"/>
  <c r="D430" i="15"/>
  <c r="D232" i="15"/>
  <c r="E412" i="15"/>
  <c r="E228" i="15"/>
  <c r="D25" i="25" s="1"/>
  <c r="D412" i="15"/>
  <c r="D228" i="15"/>
  <c r="B25" i="25" s="1"/>
  <c r="F412" i="15"/>
  <c r="F228" i="15"/>
  <c r="G25" i="25" s="1"/>
  <c r="F429" i="15"/>
  <c r="F232" i="15"/>
  <c r="H58" i="15"/>
  <c r="G243" i="15"/>
  <c r="G261" i="15" s="1"/>
  <c r="E446" i="15"/>
  <c r="E200" i="15"/>
  <c r="D15" i="25" s="1"/>
  <c r="D446" i="15"/>
  <c r="D200" i="15"/>
  <c r="B15" i="25" s="1"/>
  <c r="D286" i="15"/>
  <c r="D196" i="15"/>
  <c r="B12" i="25" s="1"/>
  <c r="F446" i="15"/>
  <c r="F200" i="15"/>
  <c r="G15" i="25" s="1"/>
  <c r="E448" i="15"/>
  <c r="E196" i="15"/>
  <c r="D12" i="25" s="1"/>
  <c r="F358" i="15"/>
  <c r="F197" i="15"/>
  <c r="E358" i="15"/>
  <c r="E197" i="15"/>
  <c r="D358" i="15"/>
  <c r="D197" i="15"/>
  <c r="F448" i="15"/>
  <c r="F196" i="15"/>
  <c r="G12" i="25" s="1"/>
  <c r="G506" i="15"/>
  <c r="G508" i="15" s="1"/>
  <c r="I40" i="15"/>
  <c r="H134" i="15"/>
  <c r="D343" i="15"/>
  <c r="E343" i="15"/>
  <c r="F343" i="15"/>
  <c r="E338" i="15"/>
  <c r="F338" i="15"/>
  <c r="I109" i="15"/>
  <c r="J500" i="15"/>
  <c r="H43" i="15"/>
  <c r="H146" i="15" s="1"/>
  <c r="H470" i="15"/>
  <c r="H469" i="15"/>
  <c r="F459" i="15"/>
  <c r="E447" i="15"/>
  <c r="F447" i="15"/>
  <c r="F460" i="15"/>
  <c r="E459" i="15"/>
  <c r="D447" i="15"/>
  <c r="E460" i="15"/>
  <c r="D460" i="15"/>
  <c r="D448" i="15"/>
  <c r="D459" i="15"/>
  <c r="K438" i="15"/>
  <c r="E429" i="15"/>
  <c r="D429" i="15"/>
  <c r="F428" i="15"/>
  <c r="E428" i="15"/>
  <c r="E432" i="15"/>
  <c r="D428" i="15"/>
  <c r="D432" i="15"/>
  <c r="F430" i="15"/>
  <c r="E286" i="15"/>
  <c r="E399" i="15"/>
  <c r="E426" i="15" s="1"/>
  <c r="F285" i="15"/>
  <c r="F399" i="15"/>
  <c r="F426" i="15" s="1"/>
  <c r="K378" i="15"/>
  <c r="J89" i="15"/>
  <c r="F354" i="15"/>
  <c r="E353" i="15"/>
  <c r="D354" i="15"/>
  <c r="E354" i="15"/>
  <c r="F353" i="15"/>
  <c r="D353" i="15"/>
  <c r="F286" i="15"/>
  <c r="G286" i="15" s="1"/>
  <c r="E281" i="15"/>
  <c r="F283" i="15"/>
  <c r="G283" i="15" s="1"/>
  <c r="H283" i="15" s="1"/>
  <c r="E283" i="15"/>
  <c r="E287" i="15"/>
  <c r="D283" i="15"/>
  <c r="D284" i="15"/>
  <c r="D281" i="15"/>
  <c r="D267" i="15"/>
  <c r="D289" i="15"/>
  <c r="D280" i="15"/>
  <c r="E289" i="15"/>
  <c r="E280" i="15"/>
  <c r="F289" i="15"/>
  <c r="F280" i="15"/>
  <c r="D287" i="15"/>
  <c r="E284" i="15"/>
  <c r="F281" i="15"/>
  <c r="E285" i="15"/>
  <c r="F282" i="15"/>
  <c r="G282" i="15" s="1"/>
  <c r="H282" i="15" s="1"/>
  <c r="F287" i="15"/>
  <c r="G287" i="15" s="1"/>
  <c r="D285" i="15"/>
  <c r="E282" i="15"/>
  <c r="F284" i="15"/>
  <c r="G284" i="15" s="1"/>
  <c r="D282" i="15"/>
  <c r="D401" i="15"/>
  <c r="F401" i="15"/>
  <c r="F410" i="15"/>
  <c r="E401" i="15"/>
  <c r="E410" i="15"/>
  <c r="D403" i="15"/>
  <c r="D405" i="15"/>
  <c r="F406" i="15"/>
  <c r="E407" i="15"/>
  <c r="E406" i="15"/>
  <c r="D406" i="15"/>
  <c r="E405" i="15"/>
  <c r="E402" i="15"/>
  <c r="D404" i="15"/>
  <c r="E403" i="15"/>
  <c r="F407" i="15"/>
  <c r="D407" i="15"/>
  <c r="F408" i="15"/>
  <c r="D402" i="15"/>
  <c r="E404" i="15"/>
  <c r="E408" i="15"/>
  <c r="F403" i="15"/>
  <c r="D408" i="15"/>
  <c r="F402" i="15"/>
  <c r="F404" i="15"/>
  <c r="F405" i="15"/>
  <c r="F268" i="15"/>
  <c r="E268" i="15"/>
  <c r="D268" i="15"/>
  <c r="F267" i="15"/>
  <c r="E75" i="15"/>
  <c r="E198" i="15" s="1"/>
  <c r="E267" i="15"/>
  <c r="D75" i="15"/>
  <c r="D198" i="15" s="1"/>
  <c r="F75" i="15"/>
  <c r="F198" i="15" s="1"/>
  <c r="E35" i="15"/>
  <c r="E569" i="15" s="1"/>
  <c r="E10" i="15"/>
  <c r="E590" i="15" s="1"/>
  <c r="E595" i="15" s="1"/>
  <c r="D10" i="15"/>
  <c r="F35" i="15"/>
  <c r="F569" i="15" s="1"/>
  <c r="D35" i="15"/>
  <c r="D569" i="15" s="1"/>
  <c r="F10" i="15"/>
  <c r="F590" i="15" s="1"/>
  <c r="F595" i="15" s="1"/>
  <c r="G281" i="15" l="1"/>
  <c r="H281" i="15" s="1"/>
  <c r="G289" i="15"/>
  <c r="G295" i="15" s="1"/>
  <c r="B17" i="25"/>
  <c r="C17" i="25" s="1"/>
  <c r="I33" i="15"/>
  <c r="G43" i="26"/>
  <c r="L389" i="15"/>
  <c r="P389" i="15"/>
  <c r="K389" i="15"/>
  <c r="O389" i="15"/>
  <c r="I389" i="15"/>
  <c r="J389" i="15"/>
  <c r="M389" i="15"/>
  <c r="N389" i="15"/>
  <c r="J386" i="15"/>
  <c r="N386" i="15"/>
  <c r="P386" i="15"/>
  <c r="I386" i="15"/>
  <c r="M386" i="15"/>
  <c r="O386" i="15"/>
  <c r="L386" i="15"/>
  <c r="K386" i="15"/>
  <c r="P387" i="15"/>
  <c r="O387" i="15"/>
  <c r="I387" i="15"/>
  <c r="M387" i="15"/>
  <c r="L387" i="15"/>
  <c r="J387" i="15"/>
  <c r="N387" i="15"/>
  <c r="K387" i="15"/>
  <c r="P395" i="15"/>
  <c r="O395" i="15"/>
  <c r="L395" i="15"/>
  <c r="I395" i="15"/>
  <c r="J395" i="15"/>
  <c r="M395" i="15"/>
  <c r="N395" i="15"/>
  <c r="K395" i="15"/>
  <c r="N390" i="15"/>
  <c r="K390" i="15"/>
  <c r="O390" i="15"/>
  <c r="J390" i="15"/>
  <c r="L390" i="15"/>
  <c r="I390" i="15"/>
  <c r="M390" i="15"/>
  <c r="P390" i="15"/>
  <c r="J394" i="15"/>
  <c r="N394" i="15"/>
  <c r="M394" i="15"/>
  <c r="P394" i="15"/>
  <c r="K394" i="15"/>
  <c r="O394" i="15"/>
  <c r="L394" i="15"/>
  <c r="I394" i="15"/>
  <c r="L385" i="15"/>
  <c r="I385" i="15"/>
  <c r="M385" i="15"/>
  <c r="O385" i="15"/>
  <c r="K385" i="15"/>
  <c r="P385" i="15"/>
  <c r="J385" i="15"/>
  <c r="N385" i="15"/>
  <c r="O388" i="15"/>
  <c r="J388" i="15"/>
  <c r="N388" i="15"/>
  <c r="M388" i="15"/>
  <c r="I388" i="15"/>
  <c r="K388" i="15"/>
  <c r="L388" i="15"/>
  <c r="P388" i="15"/>
  <c r="L393" i="15"/>
  <c r="P393" i="15"/>
  <c r="O393" i="15"/>
  <c r="I393" i="15"/>
  <c r="J393" i="15"/>
  <c r="M393" i="15"/>
  <c r="K393" i="15"/>
  <c r="N393" i="15"/>
  <c r="J392" i="15"/>
  <c r="N392" i="15"/>
  <c r="K392" i="15"/>
  <c r="M392" i="15"/>
  <c r="P392" i="15"/>
  <c r="O392" i="15"/>
  <c r="I392" i="15"/>
  <c r="L392" i="15"/>
  <c r="L391" i="15"/>
  <c r="P391" i="15"/>
  <c r="K391" i="15"/>
  <c r="I391" i="15"/>
  <c r="J391" i="15"/>
  <c r="M391" i="15"/>
  <c r="N391" i="15"/>
  <c r="O391" i="15"/>
  <c r="G17" i="25"/>
  <c r="H17" i="25" s="1"/>
  <c r="C15" i="25"/>
  <c r="I24" i="25"/>
  <c r="H12" i="25"/>
  <c r="I12" i="25"/>
  <c r="E364" i="15"/>
  <c r="E365" i="15" s="1"/>
  <c r="D13" i="25"/>
  <c r="E12" i="25"/>
  <c r="F12" i="25"/>
  <c r="C12" i="25"/>
  <c r="E15" i="25"/>
  <c r="F15" i="25"/>
  <c r="D364" i="15"/>
  <c r="D365" i="15" s="1"/>
  <c r="B13" i="25"/>
  <c r="C13" i="25" s="1"/>
  <c r="F364" i="15"/>
  <c r="F365" i="15" s="1"/>
  <c r="G13" i="25"/>
  <c r="H15" i="25"/>
  <c r="I15" i="25"/>
  <c r="I25" i="25"/>
  <c r="F25" i="25"/>
  <c r="F24" i="25"/>
  <c r="D17" i="25"/>
  <c r="E618" i="15"/>
  <c r="F618" i="15"/>
  <c r="D618" i="15"/>
  <c r="J319" i="15"/>
  <c r="J320" i="15"/>
  <c r="J316" i="15"/>
  <c r="J318" i="15"/>
  <c r="J317" i="15"/>
  <c r="E333" i="15"/>
  <c r="F333" i="15"/>
  <c r="E218" i="15"/>
  <c r="D597" i="15"/>
  <c r="E217" i="15"/>
  <c r="E597" i="15"/>
  <c r="F218" i="15"/>
  <c r="F217" i="15"/>
  <c r="F597" i="15"/>
  <c r="D572" i="15"/>
  <c r="D577" i="15"/>
  <c r="E572" i="15"/>
  <c r="F577" i="15"/>
  <c r="F587" i="15"/>
  <c r="D570" i="15"/>
  <c r="D567" i="15" s="1"/>
  <c r="D590" i="15"/>
  <c r="E587" i="15"/>
  <c r="E577" i="15"/>
  <c r="F226" i="15"/>
  <c r="G23" i="25" s="1"/>
  <c r="F570" i="15"/>
  <c r="F567" i="15" s="1"/>
  <c r="E226" i="15"/>
  <c r="D23" i="25" s="1"/>
  <c r="E570" i="15"/>
  <c r="E567" i="15" s="1"/>
  <c r="F572" i="15"/>
  <c r="E249" i="15"/>
  <c r="F249" i="15"/>
  <c r="J52" i="15"/>
  <c r="J237" i="15" s="1"/>
  <c r="P520" i="15"/>
  <c r="O44" i="15"/>
  <c r="F250" i="15"/>
  <c r="F726" i="15"/>
  <c r="E250" i="15"/>
  <c r="E254" i="15"/>
  <c r="F254" i="15"/>
  <c r="K501" i="15"/>
  <c r="K112" i="15" s="1"/>
  <c r="E211" i="15"/>
  <c r="F210" i="15"/>
  <c r="E212" i="15"/>
  <c r="E214" i="15"/>
  <c r="F212" i="15"/>
  <c r="F214" i="15"/>
  <c r="F211" i="15"/>
  <c r="E210" i="15"/>
  <c r="P154" i="15"/>
  <c r="Q54" i="15"/>
  <c r="D360" i="15"/>
  <c r="D266" i="15"/>
  <c r="D231" i="15"/>
  <c r="B27" i="25" s="1"/>
  <c r="E266" i="15"/>
  <c r="E231" i="15"/>
  <c r="D27" i="25" s="1"/>
  <c r="F266" i="15"/>
  <c r="F231" i="15"/>
  <c r="G27" i="25" s="1"/>
  <c r="D265" i="15"/>
  <c r="D226" i="15"/>
  <c r="B23" i="25" s="1"/>
  <c r="C24" i="25" s="1"/>
  <c r="I58" i="15"/>
  <c r="H243" i="15"/>
  <c r="H261" i="15" s="1"/>
  <c r="E360" i="15"/>
  <c r="D359" i="15"/>
  <c r="E359" i="15"/>
  <c r="F359" i="15"/>
  <c r="F360" i="15"/>
  <c r="H506" i="15"/>
  <c r="H508" i="15" s="1"/>
  <c r="J40" i="15"/>
  <c r="I134" i="15"/>
  <c r="J109" i="15"/>
  <c r="K500" i="15"/>
  <c r="I43" i="15"/>
  <c r="I146" i="15" s="1"/>
  <c r="I470" i="15"/>
  <c r="I469" i="15"/>
  <c r="L438" i="15"/>
  <c r="L378" i="15"/>
  <c r="K89" i="15"/>
  <c r="I283" i="15"/>
  <c r="F265" i="15"/>
  <c r="F76" i="15"/>
  <c r="F101" i="15"/>
  <c r="E76" i="15"/>
  <c r="E101" i="15"/>
  <c r="E265" i="15"/>
  <c r="D76" i="15"/>
  <c r="D101" i="15"/>
  <c r="C367" i="11"/>
  <c r="C366" i="11"/>
  <c r="Q154" i="15" l="1"/>
  <c r="Q239" i="15"/>
  <c r="F607" i="15"/>
  <c r="F608" i="15" s="1"/>
  <c r="F609" i="15" s="1"/>
  <c r="G347" i="15" s="1"/>
  <c r="E607" i="15"/>
  <c r="E608" i="15" s="1"/>
  <c r="E609" i="15" s="1"/>
  <c r="J33" i="15"/>
  <c r="H43" i="26"/>
  <c r="D607" i="15"/>
  <c r="D608" i="15" s="1"/>
  <c r="D609" i="15" s="1"/>
  <c r="H27" i="25"/>
  <c r="I27" i="25"/>
  <c r="C27" i="25"/>
  <c r="H23" i="25"/>
  <c r="I23" i="25"/>
  <c r="H29" i="25"/>
  <c r="H26" i="25"/>
  <c r="F17" i="25"/>
  <c r="E17" i="25"/>
  <c r="I17" i="25"/>
  <c r="H25" i="25"/>
  <c r="I13" i="25"/>
  <c r="H13" i="25"/>
  <c r="B14" i="25"/>
  <c r="C23" i="25"/>
  <c r="C29" i="25"/>
  <c r="C26" i="25"/>
  <c r="F27" i="25"/>
  <c r="E27" i="25"/>
  <c r="F23" i="25"/>
  <c r="E23" i="25"/>
  <c r="E29" i="25"/>
  <c r="E26" i="25"/>
  <c r="E24" i="25"/>
  <c r="C25" i="25"/>
  <c r="F13" i="25"/>
  <c r="E13" i="25"/>
  <c r="G14" i="25"/>
  <c r="E25" i="25"/>
  <c r="D14" i="25"/>
  <c r="H24" i="25"/>
  <c r="K318" i="15"/>
  <c r="K320" i="15"/>
  <c r="K317" i="15"/>
  <c r="K316" i="15"/>
  <c r="K319" i="15"/>
  <c r="E199" i="15"/>
  <c r="E622" i="15"/>
  <c r="F199" i="15"/>
  <c r="F622" i="15"/>
  <c r="D199" i="15"/>
  <c r="D622" i="15"/>
  <c r="F248" i="15"/>
  <c r="E248" i="15"/>
  <c r="D587" i="15"/>
  <c r="D595" i="15"/>
  <c r="K52" i="15"/>
  <c r="K237" i="15" s="1"/>
  <c r="P521" i="15"/>
  <c r="L501" i="15"/>
  <c r="L112" i="15" s="1"/>
  <c r="E253" i="15"/>
  <c r="F253" i="15"/>
  <c r="J58" i="15"/>
  <c r="I243" i="15"/>
  <c r="I261" i="15" s="1"/>
  <c r="F98" i="15"/>
  <c r="F201" i="15"/>
  <c r="E98" i="15"/>
  <c r="E201" i="15"/>
  <c r="D98" i="15"/>
  <c r="D201" i="15"/>
  <c r="I506" i="15"/>
  <c r="I508" i="15" s="1"/>
  <c r="K40" i="15"/>
  <c r="J134" i="15"/>
  <c r="L500" i="15"/>
  <c r="K109" i="15"/>
  <c r="J43" i="15"/>
  <c r="J146" i="15" s="1"/>
  <c r="J470" i="15"/>
  <c r="J469" i="15"/>
  <c r="M438" i="15"/>
  <c r="N438" i="15" s="1"/>
  <c r="O438" i="15" s="1"/>
  <c r="P438" i="15" s="1"/>
  <c r="Q438" i="15" s="1"/>
  <c r="M378" i="15"/>
  <c r="L89" i="15"/>
  <c r="I284" i="15"/>
  <c r="J285" i="15"/>
  <c r="J283" i="15"/>
  <c r="J286" i="15"/>
  <c r="I281" i="15"/>
  <c r="E114" i="15"/>
  <c r="E102" i="15"/>
  <c r="F102" i="15"/>
  <c r="F114" i="15"/>
  <c r="D102" i="15"/>
  <c r="D114" i="15"/>
  <c r="B277" i="9"/>
  <c r="B276" i="9"/>
  <c r="B275" i="9"/>
  <c r="B274" i="9"/>
  <c r="B273" i="9"/>
  <c r="B272" i="9"/>
  <c r="B271" i="9"/>
  <c r="B270" i="9"/>
  <c r="B269" i="9"/>
  <c r="B268" i="9"/>
  <c r="B267" i="9"/>
  <c r="B266" i="9"/>
  <c r="B265" i="9"/>
  <c r="B264" i="9"/>
  <c r="B263" i="9"/>
  <c r="B262" i="9"/>
  <c r="B261" i="9"/>
  <c r="B260" i="9"/>
  <c r="B259" i="9"/>
  <c r="B258" i="9"/>
  <c r="B257" i="9"/>
  <c r="B256" i="9"/>
  <c r="B255" i="9"/>
  <c r="B254" i="9"/>
  <c r="B253" i="9"/>
  <c r="B252" i="9"/>
  <c r="B251" i="9"/>
  <c r="B250" i="9"/>
  <c r="B249" i="9"/>
  <c r="B248" i="9"/>
  <c r="B247" i="9"/>
  <c r="B246" i="9"/>
  <c r="B245" i="9"/>
  <c r="B244" i="9"/>
  <c r="B243" i="9"/>
  <c r="B242" i="9"/>
  <c r="B241" i="9"/>
  <c r="B240" i="9"/>
  <c r="B239" i="9"/>
  <c r="B238" i="9"/>
  <c r="B237" i="9"/>
  <c r="B236" i="9"/>
  <c r="B235" i="9"/>
  <c r="B234" i="9"/>
  <c r="B233" i="9"/>
  <c r="B232" i="9"/>
  <c r="B231" i="9"/>
  <c r="B230" i="9"/>
  <c r="B229" i="9"/>
  <c r="B228" i="9"/>
  <c r="B227" i="9"/>
  <c r="B226" i="9"/>
  <c r="B225" i="9"/>
  <c r="B224" i="9"/>
  <c r="B223" i="9"/>
  <c r="B222" i="9"/>
  <c r="B221" i="9"/>
  <c r="B220" i="9"/>
  <c r="B219" i="9"/>
  <c r="B218" i="9"/>
  <c r="B217" i="9"/>
  <c r="B216" i="9"/>
  <c r="B215" i="9"/>
  <c r="B214" i="9"/>
  <c r="B213" i="9"/>
  <c r="B212" i="9"/>
  <c r="B211" i="9"/>
  <c r="B210" i="9"/>
  <c r="B209" i="9"/>
  <c r="B208" i="9"/>
  <c r="B207" i="9"/>
  <c r="B206" i="9"/>
  <c r="B205" i="9"/>
  <c r="B204" i="9"/>
  <c r="B203" i="9"/>
  <c r="B202" i="9"/>
  <c r="B201" i="9"/>
  <c r="B200" i="9"/>
  <c r="B199" i="9"/>
  <c r="B198" i="9"/>
  <c r="B197" i="9"/>
  <c r="B196" i="9"/>
  <c r="B195" i="9"/>
  <c r="B194" i="9"/>
  <c r="B193" i="9"/>
  <c r="B192" i="9"/>
  <c r="B191" i="9"/>
  <c r="B190" i="9"/>
  <c r="B189" i="9"/>
  <c r="B188" i="9"/>
  <c r="B187" i="9"/>
  <c r="B186" i="9"/>
  <c r="B185" i="9"/>
  <c r="B184" i="9"/>
  <c r="B183" i="9"/>
  <c r="B182" i="9"/>
  <c r="B181" i="9"/>
  <c r="B180" i="9"/>
  <c r="B179" i="9"/>
  <c r="B178" i="9"/>
  <c r="B177" i="9"/>
  <c r="B176" i="9"/>
  <c r="B175" i="9"/>
  <c r="B174" i="9"/>
  <c r="B173" i="9"/>
  <c r="B172" i="9"/>
  <c r="B171" i="9"/>
  <c r="B170" i="9"/>
  <c r="B169" i="9"/>
  <c r="B168" i="9"/>
  <c r="B167" i="9"/>
  <c r="B166" i="9"/>
  <c r="B165" i="9"/>
  <c r="B164" i="9"/>
  <c r="B163" i="9"/>
  <c r="B162" i="9"/>
  <c r="B161" i="9"/>
  <c r="B160" i="9"/>
  <c r="B159" i="9"/>
  <c r="B158" i="9"/>
  <c r="B157" i="9"/>
  <c r="B156" i="9"/>
  <c r="B155" i="9"/>
  <c r="B154" i="9"/>
  <c r="B153" i="9"/>
  <c r="B152" i="9"/>
  <c r="B151" i="9"/>
  <c r="B150" i="9"/>
  <c r="B149" i="9"/>
  <c r="B148" i="9"/>
  <c r="B147" i="9"/>
  <c r="B146" i="9"/>
  <c r="B145" i="9"/>
  <c r="B144" i="9"/>
  <c r="B143" i="9"/>
  <c r="B142" i="9"/>
  <c r="B141" i="9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B3" i="9"/>
  <c r="B2" i="9"/>
  <c r="B372" i="5"/>
  <c r="B371" i="5"/>
  <c r="B370" i="5"/>
  <c r="B369" i="5"/>
  <c r="P526" i="15" l="1"/>
  <c r="Q520" i="15"/>
  <c r="Q521" i="15" s="1"/>
  <c r="Q526" i="15" s="1"/>
  <c r="K33" i="15"/>
  <c r="I43" i="26"/>
  <c r="G16" i="25"/>
  <c r="I14" i="25"/>
  <c r="H14" i="25"/>
  <c r="F14" i="25"/>
  <c r="E14" i="25"/>
  <c r="D16" i="25"/>
  <c r="B16" i="25"/>
  <c r="C14" i="25"/>
  <c r="E99" i="15"/>
  <c r="E856" i="15"/>
  <c r="D99" i="15"/>
  <c r="D856" i="15"/>
  <c r="F99" i="15"/>
  <c r="F856" i="15"/>
  <c r="L316" i="15"/>
  <c r="L320" i="15"/>
  <c r="L319" i="15"/>
  <c r="L317" i="15"/>
  <c r="L318" i="15"/>
  <c r="E213" i="15"/>
  <c r="F213" i="15"/>
  <c r="D202" i="15"/>
  <c r="D623" i="15"/>
  <c r="F202" i="15"/>
  <c r="F623" i="15"/>
  <c r="E202" i="15"/>
  <c r="E623" i="15"/>
  <c r="M501" i="15"/>
  <c r="M112" i="15" s="1"/>
  <c r="L52" i="15"/>
  <c r="L237" i="15" s="1"/>
  <c r="P44" i="15"/>
  <c r="F215" i="15"/>
  <c r="E215" i="15"/>
  <c r="M89" i="15"/>
  <c r="N378" i="15"/>
  <c r="K58" i="15"/>
  <c r="J243" i="15"/>
  <c r="J261" i="15" s="1"/>
  <c r="E119" i="15"/>
  <c r="E205" i="15"/>
  <c r="F119" i="15"/>
  <c r="F205" i="15"/>
  <c r="D119" i="15"/>
  <c r="D205" i="15"/>
  <c r="L40" i="15"/>
  <c r="K134" i="15"/>
  <c r="L109" i="15"/>
  <c r="M500" i="15"/>
  <c r="K43" i="15"/>
  <c r="K146" i="15" s="1"/>
  <c r="J506" i="15"/>
  <c r="J508" i="15" s="1"/>
  <c r="K470" i="15"/>
  <c r="K469" i="15"/>
  <c r="J284" i="15"/>
  <c r="K283" i="15"/>
  <c r="K285" i="15"/>
  <c r="J281" i="15"/>
  <c r="J282" i="15"/>
  <c r="E115" i="15"/>
  <c r="E624" i="15" s="1"/>
  <c r="F115" i="15"/>
  <c r="F624" i="15" s="1"/>
  <c r="D115" i="15"/>
  <c r="D624" i="15" s="1"/>
  <c r="L33" i="15" l="1"/>
  <c r="J43" i="26"/>
  <c r="B18" i="25"/>
  <c r="C18" i="25" s="1"/>
  <c r="C16" i="25"/>
  <c r="F16" i="25"/>
  <c r="D18" i="25"/>
  <c r="E16" i="25"/>
  <c r="G18" i="25"/>
  <c r="H16" i="25"/>
  <c r="I16" i="25"/>
  <c r="M317" i="15"/>
  <c r="M320" i="15"/>
  <c r="M318" i="15"/>
  <c r="M319" i="15"/>
  <c r="M316" i="15"/>
  <c r="E216" i="15"/>
  <c r="F216" i="15"/>
  <c r="D207" i="15"/>
  <c r="D584" i="15"/>
  <c r="E207" i="15"/>
  <c r="E584" i="15"/>
  <c r="F207" i="15"/>
  <c r="F584" i="15"/>
  <c r="N501" i="15"/>
  <c r="O501" i="15" s="1"/>
  <c r="M52" i="15"/>
  <c r="M237" i="15" s="1"/>
  <c r="F219" i="15"/>
  <c r="E219" i="15"/>
  <c r="M109" i="15"/>
  <c r="N500" i="15"/>
  <c r="N89" i="15"/>
  <c r="O378" i="15"/>
  <c r="E57" i="15"/>
  <c r="D120" i="15"/>
  <c r="D625" i="15" s="1"/>
  <c r="L58" i="15"/>
  <c r="K243" i="15"/>
  <c r="K261" i="15" s="1"/>
  <c r="E120" i="15"/>
  <c r="E625" i="15" s="1"/>
  <c r="F57" i="15"/>
  <c r="E17" i="26" s="1"/>
  <c r="D57" i="15"/>
  <c r="C17" i="26" s="1"/>
  <c r="F120" i="15"/>
  <c r="F625" i="15" s="1"/>
  <c r="K506" i="15"/>
  <c r="K508" i="15" s="1"/>
  <c r="M40" i="15"/>
  <c r="L134" i="15"/>
  <c r="L43" i="15"/>
  <c r="L146" i="15" s="1"/>
  <c r="L469" i="15"/>
  <c r="K281" i="15"/>
  <c r="L283" i="15"/>
  <c r="K284" i="15"/>
  <c r="K282" i="15"/>
  <c r="L285" i="15"/>
  <c r="L286" i="15"/>
  <c r="C39" i="26" l="1"/>
  <c r="C46" i="26" s="1"/>
  <c r="C75" i="26" s="1"/>
  <c r="C18" i="26"/>
  <c r="E39" i="26"/>
  <c r="E46" i="26" s="1"/>
  <c r="E75" i="26" s="1"/>
  <c r="E76" i="26" s="1"/>
  <c r="E80" i="26" s="1"/>
  <c r="E18" i="26"/>
  <c r="E242" i="15"/>
  <c r="D30" i="25" s="1"/>
  <c r="E30" i="25" s="1"/>
  <c r="D17" i="26"/>
  <c r="M33" i="15"/>
  <c r="K43" i="26"/>
  <c r="E18" i="25"/>
  <c r="F18" i="25"/>
  <c r="H18" i="25"/>
  <c r="I18" i="25"/>
  <c r="N319" i="15"/>
  <c r="N320" i="15"/>
  <c r="N316" i="15"/>
  <c r="N318" i="15"/>
  <c r="N317" i="15"/>
  <c r="E221" i="15"/>
  <c r="F221" i="15"/>
  <c r="E582" i="15"/>
  <c r="E594" i="15"/>
  <c r="E592" i="15" s="1"/>
  <c r="F582" i="15"/>
  <c r="F594" i="15"/>
  <c r="F592" i="15" s="1"/>
  <c r="D582" i="15"/>
  <c r="D594" i="15"/>
  <c r="D592" i="15" s="1"/>
  <c r="N112" i="15"/>
  <c r="N52" i="15"/>
  <c r="N237" i="15" s="1"/>
  <c r="Q44" i="15"/>
  <c r="M134" i="15"/>
  <c r="N40" i="15"/>
  <c r="O89" i="15"/>
  <c r="P378" i="15"/>
  <c r="Q378" i="15" s="1"/>
  <c r="N109" i="15"/>
  <c r="O500" i="15"/>
  <c r="O112" i="15"/>
  <c r="P501" i="15"/>
  <c r="Q501" i="15" s="1"/>
  <c r="Q112" i="15" s="1"/>
  <c r="E50" i="15"/>
  <c r="D50" i="15"/>
  <c r="D602" i="15" s="1"/>
  <c r="D604" i="15" s="1"/>
  <c r="D242" i="15"/>
  <c r="F50" i="15"/>
  <c r="F602" i="15" s="1"/>
  <c r="F604" i="15" s="1"/>
  <c r="F242" i="15"/>
  <c r="M58" i="15"/>
  <c r="L243" i="15"/>
  <c r="L261" i="15" s="1"/>
  <c r="G56" i="15"/>
  <c r="F16" i="26" s="1"/>
  <c r="F38" i="26" s="1"/>
  <c r="L506" i="15"/>
  <c r="L508" i="15" s="1"/>
  <c r="M43" i="15"/>
  <c r="M146" i="15" s="1"/>
  <c r="L470" i="15"/>
  <c r="M469" i="15"/>
  <c r="N469" i="15" s="1"/>
  <c r="O469" i="15" s="1"/>
  <c r="P469" i="15" s="1"/>
  <c r="Q469" i="15" s="1"/>
  <c r="M286" i="15"/>
  <c r="N286" i="15" s="1"/>
  <c r="L282" i="15"/>
  <c r="M283" i="15"/>
  <c r="N283" i="15" s="1"/>
  <c r="L281" i="15"/>
  <c r="M285" i="15"/>
  <c r="N285" i="15" s="1"/>
  <c r="L284" i="15"/>
  <c r="K110" i="15"/>
  <c r="C76" i="26" l="1"/>
  <c r="C80" i="26" s="1"/>
  <c r="Q89" i="15"/>
  <c r="Q369" i="15"/>
  <c r="D39" i="26"/>
  <c r="D46" i="26" s="1"/>
  <c r="D75" i="26" s="1"/>
  <c r="D76" i="26" s="1"/>
  <c r="D80" i="26" s="1"/>
  <c r="D18" i="26"/>
  <c r="E20" i="26"/>
  <c r="E24" i="26"/>
  <c r="C24" i="26"/>
  <c r="C20" i="26"/>
  <c r="N33" i="15"/>
  <c r="L43" i="26"/>
  <c r="G241" i="15"/>
  <c r="G259" i="15" s="1"/>
  <c r="G117" i="15"/>
  <c r="E260" i="15"/>
  <c r="B30" i="25"/>
  <c r="F260" i="15"/>
  <c r="G30" i="25"/>
  <c r="O318" i="15"/>
  <c r="O320" i="15"/>
  <c r="O317" i="15"/>
  <c r="O316" i="15"/>
  <c r="O319" i="15"/>
  <c r="E1" i="15"/>
  <c r="E269" i="15" s="1"/>
  <c r="E602" i="15"/>
  <c r="E604" i="15" s="1"/>
  <c r="O52" i="15"/>
  <c r="O237" i="15" s="1"/>
  <c r="I110" i="15"/>
  <c r="K108" i="15"/>
  <c r="H110" i="15"/>
  <c r="H108" i="15" s="1"/>
  <c r="G110" i="15"/>
  <c r="L110" i="15"/>
  <c r="L108" i="15" s="1"/>
  <c r="J110" i="15"/>
  <c r="O283" i="15"/>
  <c r="O286" i="15"/>
  <c r="M243" i="15"/>
  <c r="M261" i="15" s="1"/>
  <c r="N58" i="15"/>
  <c r="N134" i="15"/>
  <c r="O40" i="15"/>
  <c r="O285" i="15"/>
  <c r="N43" i="15"/>
  <c r="P89" i="15"/>
  <c r="P112" i="15"/>
  <c r="O109" i="15"/>
  <c r="P500" i="15"/>
  <c r="Q500" i="15" s="1"/>
  <c r="Q109" i="15" s="1"/>
  <c r="E235" i="15"/>
  <c r="F1" i="15"/>
  <c r="F269" i="15" s="1"/>
  <c r="F235" i="15"/>
  <c r="D1" i="15"/>
  <c r="D269" i="15" s="1"/>
  <c r="D235" i="15"/>
  <c r="M506" i="15"/>
  <c r="M508" i="15" s="1"/>
  <c r="M470" i="15"/>
  <c r="N470" i="15" s="1"/>
  <c r="O470" i="15" s="1"/>
  <c r="P470" i="15" s="1"/>
  <c r="Q470" i="15" s="1"/>
  <c r="L471" i="15"/>
  <c r="M284" i="15"/>
  <c r="N284" i="15" s="1"/>
  <c r="M281" i="15"/>
  <c r="N281" i="15" s="1"/>
  <c r="M282" i="15"/>
  <c r="N282" i="15" s="1"/>
  <c r="D20" i="26" l="1"/>
  <c r="D24" i="26"/>
  <c r="I108" i="15"/>
  <c r="I150" i="15" s="1"/>
  <c r="G108" i="15"/>
  <c r="G150" i="15" s="1"/>
  <c r="J108" i="15"/>
  <c r="J150" i="15" s="1"/>
  <c r="O33" i="15"/>
  <c r="M43" i="26"/>
  <c r="C30" i="25"/>
  <c r="F30" i="25"/>
  <c r="F245" i="15"/>
  <c r="G28" i="25"/>
  <c r="D245" i="15"/>
  <c r="B28" i="25"/>
  <c r="C28" i="25" s="1"/>
  <c r="E245" i="15"/>
  <c r="D28" i="25"/>
  <c r="I30" i="25"/>
  <c r="H30" i="25"/>
  <c r="P316" i="15"/>
  <c r="Q316" i="15" s="1"/>
  <c r="Q327" i="15" s="1"/>
  <c r="P320" i="15"/>
  <c r="Q320" i="15" s="1"/>
  <c r="Q331" i="15" s="1"/>
  <c r="P319" i="15"/>
  <c r="Q319" i="15" s="1"/>
  <c r="Q330" i="15" s="1"/>
  <c r="P317" i="15"/>
  <c r="Q317" i="15" s="1"/>
  <c r="Q328" i="15" s="1"/>
  <c r="P318" i="15"/>
  <c r="Q318" i="15" s="1"/>
  <c r="Q329" i="15" s="1"/>
  <c r="K150" i="15"/>
  <c r="K204" i="15"/>
  <c r="P52" i="15"/>
  <c r="P237" i="15" s="1"/>
  <c r="H150" i="15"/>
  <c r="H204" i="15"/>
  <c r="M110" i="15"/>
  <c r="N506" i="15"/>
  <c r="N508" i="15" s="1"/>
  <c r="N146" i="15"/>
  <c r="F257" i="15"/>
  <c r="E257" i="15"/>
  <c r="O284" i="15"/>
  <c r="N243" i="15"/>
  <c r="N261" i="15" s="1"/>
  <c r="O58" i="15"/>
  <c r="O43" i="15"/>
  <c r="P286" i="15"/>
  <c r="Q286" i="15" s="1"/>
  <c r="O282" i="15"/>
  <c r="P285" i="15"/>
  <c r="Q285" i="15" s="1"/>
  <c r="O281" i="15"/>
  <c r="O134" i="15"/>
  <c r="P40" i="15"/>
  <c r="P283" i="15"/>
  <c r="Q283" i="15" s="1"/>
  <c r="P109" i="15"/>
  <c r="L150" i="15"/>
  <c r="L204" i="15"/>
  <c r="Q326" i="15" l="1"/>
  <c r="Q315" i="15" s="1"/>
  <c r="G204" i="15"/>
  <c r="G218" i="15" s="1"/>
  <c r="I204" i="15"/>
  <c r="I218" i="15" s="1"/>
  <c r="J204" i="15"/>
  <c r="M108" i="15"/>
  <c r="M150" i="15" s="1"/>
  <c r="P33" i="15"/>
  <c r="N43" i="26"/>
  <c r="F28" i="25"/>
  <c r="E28" i="25"/>
  <c r="H28" i="25"/>
  <c r="I28" i="25"/>
  <c r="L218" i="15"/>
  <c r="Q52" i="15"/>
  <c r="Q237" i="15" s="1"/>
  <c r="O506" i="15"/>
  <c r="O508" i="15" s="1"/>
  <c r="O146" i="15"/>
  <c r="N110" i="15"/>
  <c r="P134" i="15"/>
  <c r="Q40" i="15"/>
  <c r="Q134" i="15" s="1"/>
  <c r="P282" i="15"/>
  <c r="Q282" i="15" s="1"/>
  <c r="P281" i="15"/>
  <c r="Q281" i="15" s="1"/>
  <c r="P43" i="15"/>
  <c r="P58" i="15"/>
  <c r="O243" i="15"/>
  <c r="O261" i="15" s="1"/>
  <c r="P284" i="15"/>
  <c r="Q284" i="15" s="1"/>
  <c r="H218" i="15" l="1"/>
  <c r="J218" i="15"/>
  <c r="K218" i="15"/>
  <c r="M204" i="15"/>
  <c r="M218" i="15" s="1"/>
  <c r="N108" i="15"/>
  <c r="N150" i="15" s="1"/>
  <c r="Q33" i="15"/>
  <c r="P43" i="26" s="1"/>
  <c r="O43" i="26"/>
  <c r="P506" i="15"/>
  <c r="P508" i="15" s="1"/>
  <c r="P146" i="15"/>
  <c r="O110" i="15"/>
  <c r="P243" i="15"/>
  <c r="P261" i="15" s="1"/>
  <c r="Q58" i="15"/>
  <c r="Q243" i="15" s="1"/>
  <c r="Q43" i="15"/>
  <c r="Q146" i="15" s="1"/>
  <c r="Q261" i="15" l="1"/>
  <c r="Q506" i="15"/>
  <c r="Q508" i="15" s="1"/>
  <c r="Q110" i="15" s="1"/>
  <c r="Q108" i="15" s="1"/>
  <c r="N204" i="15"/>
  <c r="N218" i="15" s="1"/>
  <c r="O108" i="15"/>
  <c r="O204" i="15" s="1"/>
  <c r="P110" i="15"/>
  <c r="Q204" i="15" l="1"/>
  <c r="Q150" i="15"/>
  <c r="O150" i="15"/>
  <c r="O218" i="15"/>
  <c r="P108" i="15"/>
  <c r="P204" i="15" s="1"/>
  <c r="P218" i="15" s="1"/>
  <c r="Q218" i="15" l="1"/>
  <c r="P150" i="15"/>
  <c r="G184" i="15" l="1"/>
  <c r="H833" i="15" l="1"/>
  <c r="H772" i="15"/>
  <c r="G53" i="15"/>
  <c r="G238" i="15" s="1"/>
  <c r="F75" i="4"/>
  <c r="G51" i="15" l="1"/>
  <c r="F8" i="26" s="1"/>
  <c r="F27" i="26" s="1"/>
  <c r="H53" i="15"/>
  <c r="H238" i="15" s="1"/>
  <c r="G152" i="15"/>
  <c r="G236" i="15" l="1"/>
  <c r="H51" i="15"/>
  <c r="I53" i="15"/>
  <c r="I238" i="15" s="1"/>
  <c r="H236" i="15" l="1"/>
  <c r="L29" i="25" s="1"/>
  <c r="G8" i="26"/>
  <c r="G27" i="26" s="1"/>
  <c r="G258" i="15"/>
  <c r="K29" i="25"/>
  <c r="H152" i="15"/>
  <c r="I51" i="15"/>
  <c r="H8" i="26" s="1"/>
  <c r="H27" i="26" s="1"/>
  <c r="J238" i="15"/>
  <c r="H258" i="15" l="1"/>
  <c r="I152" i="15"/>
  <c r="I236" i="15"/>
  <c r="J51" i="15"/>
  <c r="K238" i="15"/>
  <c r="J152" i="15" l="1"/>
  <c r="I8" i="26"/>
  <c r="I27" i="26" s="1"/>
  <c r="I258" i="15"/>
  <c r="M29" i="25"/>
  <c r="J236" i="15"/>
  <c r="K51" i="15"/>
  <c r="J8" i="26" s="1"/>
  <c r="J27" i="26" s="1"/>
  <c r="L238" i="15"/>
  <c r="J258" i="15" l="1"/>
  <c r="N29" i="25"/>
  <c r="K152" i="15"/>
  <c r="K236" i="15"/>
  <c r="L51" i="15"/>
  <c r="N53" i="15"/>
  <c r="L152" i="15" l="1"/>
  <c r="K8" i="26"/>
  <c r="K27" i="26" s="1"/>
  <c r="K258" i="15"/>
  <c r="O29" i="25"/>
  <c r="N51" i="15"/>
  <c r="N238" i="15"/>
  <c r="M51" i="15"/>
  <c r="L8" i="26" s="1"/>
  <c r="L27" i="26" s="1"/>
  <c r="M238" i="15"/>
  <c r="L236" i="15"/>
  <c r="O53" i="15"/>
  <c r="N236" i="15" l="1"/>
  <c r="M8" i="26"/>
  <c r="M27" i="26" s="1"/>
  <c r="L258" i="15"/>
  <c r="P29" i="25"/>
  <c r="D75" i="4"/>
  <c r="O51" i="15"/>
  <c r="O238" i="15"/>
  <c r="M236" i="15"/>
  <c r="M258" i="15" s="1"/>
  <c r="M152" i="15"/>
  <c r="N152" i="15"/>
  <c r="P53" i="15"/>
  <c r="O236" i="15" l="1"/>
  <c r="O258" i="15" s="1"/>
  <c r="N8" i="26"/>
  <c r="N27" i="26" s="1"/>
  <c r="N258" i="15"/>
  <c r="P51" i="15"/>
  <c r="P238" i="15"/>
  <c r="O152" i="15"/>
  <c r="Q53" i="15"/>
  <c r="Q238" i="15" s="1"/>
  <c r="P236" i="15" l="1"/>
  <c r="P258" i="15" s="1"/>
  <c r="O8" i="26"/>
  <c r="O27" i="26" s="1"/>
  <c r="Q51" i="15"/>
  <c r="P152" i="15"/>
  <c r="Q152" i="15" l="1"/>
  <c r="Q236" i="15"/>
  <c r="Q258" i="15" s="1"/>
  <c r="P8" i="26"/>
  <c r="P27" i="26" s="1"/>
  <c r="G206" i="15" l="1"/>
  <c r="H348" i="15" l="1"/>
  <c r="G142" i="15" l="1"/>
  <c r="H39" i="26" l="1"/>
  <c r="I39" i="26" l="1"/>
  <c r="C28" i="21" l="1"/>
  <c r="C21" i="21"/>
  <c r="G303" i="15" l="1"/>
  <c r="G330" i="15" s="1"/>
  <c r="G63" i="15" s="1"/>
  <c r="C8" i="21" l="1"/>
  <c r="G64" i="15" l="1"/>
  <c r="G69" i="15" l="1"/>
  <c r="F59" i="26"/>
  <c r="C6" i="21"/>
  <c r="C7" i="21" l="1"/>
  <c r="C12" i="21"/>
  <c r="I22" i="21" l="1"/>
  <c r="I36" i="21" l="1"/>
  <c r="J36" i="21" l="1"/>
  <c r="K36" i="21" l="1"/>
  <c r="L36" i="21" l="1"/>
  <c r="M36" i="21" l="1"/>
  <c r="D9" i="21" l="1"/>
  <c r="E9" i="21" s="1"/>
  <c r="F9" i="21" s="1"/>
  <c r="G9" i="21" s="1"/>
  <c r="H9" i="21" s="1"/>
  <c r="I9" i="21" s="1"/>
  <c r="J9" i="21" s="1"/>
  <c r="K9" i="21" s="1"/>
  <c r="L9" i="21" s="1"/>
  <c r="M9" i="21" s="1"/>
  <c r="D39" i="21" l="1"/>
  <c r="E10" i="21" l="1"/>
  <c r="I291" i="15" s="1"/>
  <c r="E39" i="21"/>
  <c r="F10" i="21" l="1"/>
  <c r="F39" i="21"/>
  <c r="G10" i="21" l="1"/>
  <c r="G39" i="21"/>
  <c r="H10" i="21" l="1"/>
  <c r="H39" i="21"/>
  <c r="I10" i="21" l="1"/>
  <c r="I39" i="21"/>
  <c r="J39" i="21" l="1"/>
  <c r="J10" i="21"/>
  <c r="K10" i="21" l="1"/>
  <c r="K39" i="21"/>
  <c r="L10" i="21" l="1"/>
  <c r="L39" i="21"/>
  <c r="M10" i="21" l="1"/>
  <c r="Q291" i="15" s="1"/>
  <c r="M39" i="21"/>
  <c r="Q725" i="15" l="1"/>
  <c r="Q289" i="15"/>
  <c r="G39" i="26"/>
  <c r="Q292" i="15" l="1"/>
  <c r="Q726" i="15"/>
  <c r="Q293" i="15"/>
  <c r="Q294" i="15"/>
  <c r="Q295" i="15"/>
  <c r="Q296" i="15"/>
  <c r="Q412" i="15"/>
  <c r="H72" i="15"/>
  <c r="H73" i="15"/>
  <c r="C14" i="27" s="1"/>
  <c r="C32" i="21"/>
  <c r="G72" i="15" l="1"/>
  <c r="G78" i="15" s="1"/>
  <c r="H71" i="15"/>
  <c r="C13" i="27"/>
  <c r="C15" i="27" s="1"/>
  <c r="H600" i="15" l="1"/>
  <c r="H433" i="15"/>
  <c r="H434" i="15" s="1"/>
  <c r="G68" i="26"/>
  <c r="H197" i="15"/>
  <c r="H745" i="15"/>
  <c r="H747" i="15" s="1"/>
  <c r="H364" i="15" l="1"/>
  <c r="H607" i="15" s="1"/>
  <c r="L13" i="25"/>
  <c r="D31" i="21"/>
  <c r="D41" i="21" l="1"/>
  <c r="G304" i="15" l="1"/>
  <c r="G331" i="15" s="1"/>
  <c r="G302" i="15"/>
  <c r="G329" i="15" s="1"/>
  <c r="G301" i="15"/>
  <c r="G328" i="15" s="1"/>
  <c r="G335" i="15"/>
  <c r="G336" i="15" s="1"/>
  <c r="G724" i="15" l="1"/>
  <c r="G725" i="15" s="1"/>
  <c r="G300" i="15"/>
  <c r="G327" i="15" s="1"/>
  <c r="G326" i="15" s="1"/>
  <c r="G315" i="15" s="1"/>
  <c r="C27" i="21"/>
  <c r="C24" i="21"/>
  <c r="G306" i="15" l="1"/>
  <c r="D21" i="21"/>
  <c r="C5" i="27"/>
  <c r="C4" i="27"/>
  <c r="E16" i="21"/>
  <c r="E15" i="21" s="1"/>
  <c r="D20" i="21"/>
  <c r="D19" i="21" l="1"/>
  <c r="D24" i="21" s="1"/>
  <c r="C6" i="27"/>
  <c r="D5" i="27"/>
  <c r="D4" i="27"/>
  <c r="E20" i="21"/>
  <c r="F16" i="21"/>
  <c r="F15" i="21" s="1"/>
  <c r="H298" i="15" l="1"/>
  <c r="H303" i="15" s="1"/>
  <c r="H330" i="15" s="1"/>
  <c r="H290" i="15" s="1"/>
  <c r="H63" i="15" s="1"/>
  <c r="D28" i="21"/>
  <c r="D6" i="27"/>
  <c r="F21" i="21"/>
  <c r="E5" i="27"/>
  <c r="E4" i="27"/>
  <c r="F20" i="21"/>
  <c r="G16" i="21"/>
  <c r="H335" i="15" l="1"/>
  <c r="H301" i="15"/>
  <c r="H328" i="15" s="1"/>
  <c r="H302" i="15"/>
  <c r="H329" i="15" s="1"/>
  <c r="H304" i="15"/>
  <c r="H331" i="15" s="1"/>
  <c r="D8" i="21"/>
  <c r="C9" i="27"/>
  <c r="E6" i="27"/>
  <c r="F19" i="21"/>
  <c r="H336" i="15"/>
  <c r="H724" i="15"/>
  <c r="F4" i="27"/>
  <c r="G20" i="21"/>
  <c r="H16" i="21"/>
  <c r="H300" i="15"/>
  <c r="G21" i="21"/>
  <c r="F5" i="27"/>
  <c r="F28" i="21" l="1"/>
  <c r="F6" i="27"/>
  <c r="H327" i="15"/>
  <c r="H326" i="15" s="1"/>
  <c r="H306" i="15"/>
  <c r="G4" i="27"/>
  <c r="H20" i="21"/>
  <c r="I16" i="21"/>
  <c r="G5" i="27"/>
  <c r="H21" i="21"/>
  <c r="I17" i="21"/>
  <c r="G19" i="21"/>
  <c r="H315" i="15" l="1"/>
  <c r="H291" i="15"/>
  <c r="I21" i="21"/>
  <c r="H5" i="27"/>
  <c r="J17" i="21"/>
  <c r="H4" i="27"/>
  <c r="I20" i="21"/>
  <c r="J16" i="21"/>
  <c r="G6" i="27"/>
  <c r="H19" i="21"/>
  <c r="G28" i="21"/>
  <c r="H6" i="27" l="1"/>
  <c r="H64" i="15"/>
  <c r="H289" i="15"/>
  <c r="H725" i="15"/>
  <c r="I19" i="21"/>
  <c r="I28" i="21" s="1"/>
  <c r="I4" i="27"/>
  <c r="J20" i="21"/>
  <c r="K16" i="21"/>
  <c r="J21" i="21"/>
  <c r="I5" i="27"/>
  <c r="K17" i="21"/>
  <c r="H28" i="21"/>
  <c r="H295" i="15" l="1"/>
  <c r="H68" i="15" s="1"/>
  <c r="G64" i="26" s="1"/>
  <c r="H296" i="15"/>
  <c r="H69" i="15" s="1"/>
  <c r="H292" i="15"/>
  <c r="H65" i="15" s="1"/>
  <c r="H293" i="15"/>
  <c r="H66" i="15" s="1"/>
  <c r="G62" i="26" s="1"/>
  <c r="H412" i="15"/>
  <c r="H294" i="15"/>
  <c r="H67" i="15" s="1"/>
  <c r="G63" i="26" s="1"/>
  <c r="H726" i="15"/>
  <c r="C8" i="27"/>
  <c r="C19" i="27" s="1"/>
  <c r="H78" i="15"/>
  <c r="D6" i="21"/>
  <c r="G59" i="26"/>
  <c r="J4" i="27"/>
  <c r="K20" i="21"/>
  <c r="L16" i="21"/>
  <c r="J5" i="27"/>
  <c r="K21" i="21"/>
  <c r="L17" i="21"/>
  <c r="J19" i="21"/>
  <c r="I6" i="27"/>
  <c r="G61" i="26" l="1"/>
  <c r="G58" i="26" s="1"/>
  <c r="G66" i="26" s="1"/>
  <c r="G73" i="26" s="1"/>
  <c r="C10" i="27"/>
  <c r="C11" i="27" s="1"/>
  <c r="H62" i="15"/>
  <c r="D38" i="21"/>
  <c r="D27" i="21"/>
  <c r="D12" i="21"/>
  <c r="D7" i="21"/>
  <c r="K19" i="21"/>
  <c r="J6" i="27"/>
  <c r="K4" i="27"/>
  <c r="M16" i="21"/>
  <c r="L20" i="21"/>
  <c r="J28" i="21"/>
  <c r="K5" i="27"/>
  <c r="L21" i="21"/>
  <c r="M17" i="21"/>
  <c r="H454" i="15" l="1"/>
  <c r="H48" i="15" s="1"/>
  <c r="H744" i="15"/>
  <c r="H746" i="15" s="1"/>
  <c r="H615" i="15"/>
  <c r="H612" i="15"/>
  <c r="H196" i="15"/>
  <c r="L12" i="25" s="1"/>
  <c r="L14" i="25" s="1"/>
  <c r="H611" i="15"/>
  <c r="H464" i="15"/>
  <c r="H32" i="15" s="1"/>
  <c r="H75" i="15"/>
  <c r="H475" i="15"/>
  <c r="H481" i="15" s="1"/>
  <c r="I481" i="15" s="1"/>
  <c r="J481" i="15" s="1"/>
  <c r="K481" i="15" s="1"/>
  <c r="L481" i="15" s="1"/>
  <c r="H589" i="15"/>
  <c r="H599" i="15" s="1"/>
  <c r="H597" i="15" s="1"/>
  <c r="H339" i="15"/>
  <c r="H106" i="15" s="1"/>
  <c r="H453" i="15"/>
  <c r="H47" i="15" s="1"/>
  <c r="H585" i="15"/>
  <c r="H77" i="15"/>
  <c r="H356" i="15" s="1"/>
  <c r="H358" i="15" s="1"/>
  <c r="H344" i="15"/>
  <c r="H341" i="15" s="1"/>
  <c r="H105" i="15" s="1"/>
  <c r="H104" i="15" s="1"/>
  <c r="H463" i="15"/>
  <c r="H31" i="15" s="1"/>
  <c r="H280" i="15"/>
  <c r="C20" i="27"/>
  <c r="C17" i="27"/>
  <c r="K28" i="21"/>
  <c r="L5" i="27"/>
  <c r="M21" i="21"/>
  <c r="L19" i="21"/>
  <c r="L4" i="27"/>
  <c r="M20" i="21"/>
  <c r="K6" i="27"/>
  <c r="M19" i="21" l="1"/>
  <c r="H203" i="15"/>
  <c r="L17" i="25" s="1"/>
  <c r="H148" i="15"/>
  <c r="H614" i="15"/>
  <c r="C25" i="27"/>
  <c r="H30" i="15"/>
  <c r="H198" i="15"/>
  <c r="H76" i="15"/>
  <c r="L6" i="27"/>
  <c r="M28" i="21"/>
  <c r="L28" i="21"/>
  <c r="H622" i="15" l="1"/>
  <c r="H199" i="15"/>
  <c r="O47" i="25" s="1"/>
  <c r="G412" i="15" l="1"/>
  <c r="H333" i="15"/>
  <c r="G726" i="15"/>
  <c r="G333" i="15"/>
  <c r="G68" i="15"/>
  <c r="F64" i="26" s="1"/>
  <c r="G294" i="15"/>
  <c r="G67" i="15" s="1"/>
  <c r="F63" i="26" s="1"/>
  <c r="G292" i="15"/>
  <c r="G65" i="15" s="1"/>
  <c r="G293" i="15"/>
  <c r="G66" i="15" s="1"/>
  <c r="F62" i="26" s="1"/>
  <c r="G62" i="15" l="1"/>
  <c r="F61" i="26"/>
  <c r="F58" i="26" s="1"/>
  <c r="F66" i="26" s="1"/>
  <c r="F73" i="26" s="1"/>
  <c r="G589" i="15" l="1"/>
  <c r="G344" i="15"/>
  <c r="G341" i="15" s="1"/>
  <c r="G105" i="15" s="1"/>
  <c r="G196" i="15"/>
  <c r="G744" i="15"/>
  <c r="G746" i="15" s="1"/>
  <c r="G585" i="15"/>
  <c r="G280" i="15"/>
  <c r="H399" i="15"/>
  <c r="H426" i="15" s="1"/>
  <c r="G464" i="15"/>
  <c r="G32" i="15" s="1"/>
  <c r="G475" i="15"/>
  <c r="G339" i="15"/>
  <c r="G106" i="15" s="1"/>
  <c r="G615" i="15"/>
  <c r="G453" i="15"/>
  <c r="G47" i="15" s="1"/>
  <c r="G399" i="15"/>
  <c r="G463" i="15"/>
  <c r="G31" i="15" s="1"/>
  <c r="G616" i="15"/>
  <c r="G454" i="15"/>
  <c r="G48" i="15" s="1"/>
  <c r="G611" i="15"/>
  <c r="G104" i="15" l="1"/>
  <c r="G614" i="15" s="1"/>
  <c r="H128" i="15"/>
  <c r="G128" i="15"/>
  <c r="G30" i="15"/>
  <c r="H137" i="15"/>
  <c r="G137" i="15"/>
  <c r="G474" i="15"/>
  <c r="G480" i="15"/>
  <c r="H210" i="15"/>
  <c r="K12" i="25"/>
  <c r="G210" i="15"/>
  <c r="G426" i="15"/>
  <c r="G440" i="15" s="1"/>
  <c r="G418" i="15"/>
  <c r="G416" i="15"/>
  <c r="G417" i="15"/>
  <c r="G419" i="15"/>
  <c r="G413" i="15"/>
  <c r="G415" i="15"/>
  <c r="G138" i="15"/>
  <c r="H138" i="15"/>
  <c r="H129" i="15"/>
  <c r="G129" i="15"/>
  <c r="G599" i="15"/>
  <c r="G203" i="15" l="1"/>
  <c r="H217" i="15" s="1"/>
  <c r="G148" i="15"/>
  <c r="G402" i="15"/>
  <c r="G17" i="15"/>
  <c r="H413" i="15"/>
  <c r="G414" i="15"/>
  <c r="H419" i="15"/>
  <c r="G408" i="15"/>
  <c r="G23" i="15"/>
  <c r="G406" i="15"/>
  <c r="H417" i="15"/>
  <c r="G21" i="15"/>
  <c r="H416" i="15"/>
  <c r="G405" i="15"/>
  <c r="G20" i="15"/>
  <c r="G22" i="15"/>
  <c r="G407" i="15"/>
  <c r="H418" i="15"/>
  <c r="G477" i="15"/>
  <c r="H480" i="15"/>
  <c r="H415" i="15"/>
  <c r="G19" i="15"/>
  <c r="G404" i="15"/>
  <c r="G39" i="15"/>
  <c r="G133" i="15" s="1"/>
  <c r="H440" i="15"/>
  <c r="H474" i="15"/>
  <c r="G493" i="15"/>
  <c r="G27" i="15" s="1"/>
  <c r="G217" i="15" l="1"/>
  <c r="K17" i="25"/>
  <c r="H404" i="15"/>
  <c r="H19" i="15"/>
  <c r="H477" i="15"/>
  <c r="H495" i="15" s="1"/>
  <c r="H94" i="15" s="1"/>
  <c r="I480" i="15"/>
  <c r="H23" i="15"/>
  <c r="H408" i="15"/>
  <c r="G403" i="15"/>
  <c r="G421" i="15"/>
  <c r="G18" i="15"/>
  <c r="G478" i="15"/>
  <c r="G495" i="15"/>
  <c r="G94" i="15" s="1"/>
  <c r="H406" i="15"/>
  <c r="H21" i="15"/>
  <c r="H407" i="15"/>
  <c r="H22" i="15"/>
  <c r="H414" i="15"/>
  <c r="H17" i="15"/>
  <c r="H402" i="15"/>
  <c r="H20" i="15"/>
  <c r="H405" i="15"/>
  <c r="G16" i="15"/>
  <c r="H437" i="15"/>
  <c r="H436" i="15" s="1"/>
  <c r="H39" i="15"/>
  <c r="H133" i="15" s="1"/>
  <c r="G140" i="15"/>
  <c r="H493" i="15"/>
  <c r="H27" i="15" s="1"/>
  <c r="G228" i="15" l="1"/>
  <c r="G579" i="15"/>
  <c r="G127" i="15"/>
  <c r="G126" i="15" s="1"/>
  <c r="J480" i="15"/>
  <c r="H140" i="15"/>
  <c r="H403" i="15"/>
  <c r="H421" i="15"/>
  <c r="H18" i="15"/>
  <c r="H16" i="15" s="1"/>
  <c r="G494" i="15"/>
  <c r="G28" i="15" s="1"/>
  <c r="G26" i="15" s="1"/>
  <c r="G229" i="15" s="1"/>
  <c r="H478" i="15"/>
  <c r="H38" i="15"/>
  <c r="H435" i="15"/>
  <c r="H127" i="15" l="1"/>
  <c r="H126" i="15" s="1"/>
  <c r="H579" i="15"/>
  <c r="H228" i="15"/>
  <c r="K480" i="15"/>
  <c r="G250" i="15"/>
  <c r="J835" i="15" s="1"/>
  <c r="K25" i="25"/>
  <c r="H494" i="15"/>
  <c r="H28" i="15" s="1"/>
  <c r="H26" i="15" s="1"/>
  <c r="H229" i="15" s="1"/>
  <c r="H37" i="15"/>
  <c r="G251" i="15"/>
  <c r="K26" i="25"/>
  <c r="L26" i="25" l="1"/>
  <c r="H251" i="15"/>
  <c r="L25" i="25"/>
  <c r="H250" i="15"/>
  <c r="H580" i="15"/>
  <c r="H577" i="15" s="1"/>
  <c r="H232" i="15"/>
  <c r="G379" i="15" l="1"/>
  <c r="G372" i="15"/>
  <c r="G374" i="15"/>
  <c r="G375" i="15"/>
  <c r="G373" i="15"/>
  <c r="G371" i="15"/>
  <c r="G376" i="15"/>
  <c r="G381" i="15"/>
  <c r="G380" i="15"/>
  <c r="G377" i="15"/>
  <c r="G370" i="15"/>
  <c r="H370" i="15" s="1"/>
  <c r="H81" i="15" l="1"/>
  <c r="G90" i="15"/>
  <c r="H379" i="15"/>
  <c r="G92" i="15"/>
  <c r="H381" i="15"/>
  <c r="G85" i="15"/>
  <c r="H374" i="15"/>
  <c r="G87" i="15"/>
  <c r="H376" i="15"/>
  <c r="G82" i="15"/>
  <c r="H371" i="15"/>
  <c r="G83" i="15"/>
  <c r="H372" i="15"/>
  <c r="G84" i="15"/>
  <c r="H373" i="15"/>
  <c r="G91" i="15"/>
  <c r="H380" i="15"/>
  <c r="G88" i="15"/>
  <c r="H377" i="15"/>
  <c r="G86" i="15"/>
  <c r="H375" i="15"/>
  <c r="H451" i="15"/>
  <c r="H45" i="15" s="1"/>
  <c r="G369" i="15"/>
  <c r="G81" i="15"/>
  <c r="H369" i="15" l="1"/>
  <c r="I381" i="15"/>
  <c r="H92" i="15"/>
  <c r="H83" i="15"/>
  <c r="I372" i="15"/>
  <c r="I377" i="15"/>
  <c r="H88" i="15"/>
  <c r="H90" i="15"/>
  <c r="I379" i="15"/>
  <c r="I374" i="15"/>
  <c r="H85" i="15"/>
  <c r="H82" i="15"/>
  <c r="I371" i="15"/>
  <c r="H91" i="15"/>
  <c r="I380" i="15"/>
  <c r="I81" i="15"/>
  <c r="I451" i="15" s="1"/>
  <c r="I45" i="15" s="1"/>
  <c r="J370" i="15"/>
  <c r="H84" i="15"/>
  <c r="I373" i="15"/>
  <c r="I375" i="15"/>
  <c r="H86" i="15"/>
  <c r="H87" i="15"/>
  <c r="I376" i="15"/>
  <c r="G451" i="15"/>
  <c r="G45" i="15" s="1"/>
  <c r="G80" i="15"/>
  <c r="I88" i="15" l="1"/>
  <c r="J377" i="15"/>
  <c r="I87" i="15"/>
  <c r="J376" i="15"/>
  <c r="I86" i="15"/>
  <c r="J375" i="15"/>
  <c r="I83" i="15"/>
  <c r="J372" i="15"/>
  <c r="J373" i="15"/>
  <c r="I84" i="15"/>
  <c r="H80" i="15"/>
  <c r="J81" i="15"/>
  <c r="J451" i="15" s="1"/>
  <c r="J45" i="15" s="1"/>
  <c r="K370" i="15"/>
  <c r="I135" i="15"/>
  <c r="I82" i="15"/>
  <c r="J371" i="15"/>
  <c r="I90" i="15"/>
  <c r="J379" i="15"/>
  <c r="J380" i="15"/>
  <c r="I91" i="15"/>
  <c r="I369" i="15"/>
  <c r="J374" i="15"/>
  <c r="I85" i="15"/>
  <c r="I92" i="15"/>
  <c r="J381" i="15"/>
  <c r="C44" i="21"/>
  <c r="G613" i="15"/>
  <c r="G200" i="15"/>
  <c r="G452" i="15"/>
  <c r="G46" i="15" s="1"/>
  <c r="G135" i="15"/>
  <c r="H135" i="15"/>
  <c r="K380" i="15" l="1"/>
  <c r="J91" i="15"/>
  <c r="J90" i="15"/>
  <c r="K379" i="15"/>
  <c r="D44" i="21"/>
  <c r="H101" i="15"/>
  <c r="H613" i="15"/>
  <c r="C22" i="27"/>
  <c r="H200" i="15"/>
  <c r="H452" i="15"/>
  <c r="H46" i="15" s="1"/>
  <c r="H136" i="15" s="1"/>
  <c r="K374" i="15"/>
  <c r="J85" i="15"/>
  <c r="J86" i="15"/>
  <c r="K375" i="15"/>
  <c r="K376" i="15"/>
  <c r="J87" i="15"/>
  <c r="K381" i="15"/>
  <c r="J92" i="15"/>
  <c r="J88" i="15"/>
  <c r="K377" i="15"/>
  <c r="K371" i="15"/>
  <c r="J82" i="15"/>
  <c r="J84" i="15"/>
  <c r="K373" i="15"/>
  <c r="J369" i="15"/>
  <c r="L370" i="15"/>
  <c r="K81" i="15"/>
  <c r="K451" i="15" s="1"/>
  <c r="K45" i="15" s="1"/>
  <c r="J135" i="15"/>
  <c r="J83" i="15"/>
  <c r="K372" i="15"/>
  <c r="G214" i="15"/>
  <c r="H214" i="15"/>
  <c r="K15" i="25"/>
  <c r="G618" i="15"/>
  <c r="G136" i="15"/>
  <c r="G42" i="15"/>
  <c r="K369" i="15" l="1"/>
  <c r="K87" i="15"/>
  <c r="L376" i="15"/>
  <c r="K86" i="15"/>
  <c r="L375" i="15"/>
  <c r="H114" i="15"/>
  <c r="H102" i="15"/>
  <c r="H98" i="15"/>
  <c r="H201" i="15"/>
  <c r="K135" i="15"/>
  <c r="L377" i="15"/>
  <c r="K88" i="15"/>
  <c r="L379" i="15"/>
  <c r="K90" i="15"/>
  <c r="C27" i="27"/>
  <c r="C28" i="27" s="1"/>
  <c r="C23" i="27"/>
  <c r="L81" i="15"/>
  <c r="L451" i="15" s="1"/>
  <c r="L45" i="15" s="1"/>
  <c r="M370" i="15"/>
  <c r="L374" i="15"/>
  <c r="K85" i="15"/>
  <c r="K82" i="15"/>
  <c r="L371" i="15"/>
  <c r="H575" i="15"/>
  <c r="H42" i="15"/>
  <c r="K83" i="15"/>
  <c r="L372" i="15"/>
  <c r="L373" i="15"/>
  <c r="K84" i="15"/>
  <c r="L381" i="15"/>
  <c r="K92" i="15"/>
  <c r="L15" i="25"/>
  <c r="L16" i="25" s="1"/>
  <c r="L18" i="25" s="1"/>
  <c r="H618" i="15"/>
  <c r="L380" i="15"/>
  <c r="K91" i="15"/>
  <c r="G233" i="15"/>
  <c r="M372" i="15" l="1"/>
  <c r="L83" i="15"/>
  <c r="H856" i="15"/>
  <c r="H124" i="15"/>
  <c r="H99" i="15"/>
  <c r="M373" i="15"/>
  <c r="L84" i="15"/>
  <c r="H623" i="15"/>
  <c r="H202" i="15"/>
  <c r="L85" i="15"/>
  <c r="M374" i="15"/>
  <c r="L90" i="15"/>
  <c r="M379" i="15"/>
  <c r="H115" i="15"/>
  <c r="H624" i="15" s="1"/>
  <c r="H205" i="15"/>
  <c r="L86" i="15"/>
  <c r="M375" i="15"/>
  <c r="M371" i="15"/>
  <c r="L82" i="15"/>
  <c r="M81" i="15"/>
  <c r="M451" i="15" s="1"/>
  <c r="M45" i="15" s="1"/>
  <c r="M135" i="15" s="1"/>
  <c r="N370" i="15"/>
  <c r="M377" i="15"/>
  <c r="L88" i="15"/>
  <c r="M380" i="15"/>
  <c r="L91" i="15"/>
  <c r="L369" i="15"/>
  <c r="M381" i="15"/>
  <c r="L92" i="15"/>
  <c r="L135" i="15"/>
  <c r="M376" i="15"/>
  <c r="L87" i="15"/>
  <c r="H35" i="15"/>
  <c r="H233" i="15"/>
  <c r="H255" i="15" s="1"/>
  <c r="G255" i="15"/>
  <c r="N373" i="15" l="1"/>
  <c r="M84" i="15"/>
  <c r="M92" i="15"/>
  <c r="N381" i="15"/>
  <c r="N377" i="15"/>
  <c r="M88" i="15"/>
  <c r="N374" i="15"/>
  <c r="M85" i="15"/>
  <c r="M369" i="15"/>
  <c r="H569" i="15"/>
  <c r="H231" i="15"/>
  <c r="L27" i="25" s="1"/>
  <c r="M82" i="15"/>
  <c r="N371" i="15"/>
  <c r="N379" i="15"/>
  <c r="M90" i="15"/>
  <c r="N380" i="15"/>
  <c r="M91" i="15"/>
  <c r="N375" i="15"/>
  <c r="M86" i="15"/>
  <c r="O370" i="15"/>
  <c r="N81" i="15"/>
  <c r="N451" i="15" s="1"/>
  <c r="N45" i="15" s="1"/>
  <c r="N376" i="15"/>
  <c r="M87" i="15"/>
  <c r="N372" i="15"/>
  <c r="M83" i="15"/>
  <c r="N369" i="15" l="1"/>
  <c r="O81" i="15"/>
  <c r="O451" i="15" s="1"/>
  <c r="O45" i="15" s="1"/>
  <c r="O135" i="15" s="1"/>
  <c r="P370" i="15"/>
  <c r="N88" i="15"/>
  <c r="O377" i="15"/>
  <c r="O379" i="15"/>
  <c r="N90" i="15"/>
  <c r="O381" i="15"/>
  <c r="N92" i="15"/>
  <c r="O372" i="15"/>
  <c r="N83" i="15"/>
  <c r="N86" i="15"/>
  <c r="O375" i="15"/>
  <c r="N135" i="15"/>
  <c r="N82" i="15"/>
  <c r="O371" i="15"/>
  <c r="N84" i="15"/>
  <c r="O373" i="15"/>
  <c r="N91" i="15"/>
  <c r="O380" i="15"/>
  <c r="O376" i="15"/>
  <c r="N87" i="15"/>
  <c r="O374" i="15"/>
  <c r="N85" i="15"/>
  <c r="O85" i="15" l="1"/>
  <c r="P374" i="15"/>
  <c r="P377" i="15"/>
  <c r="O88" i="15"/>
  <c r="P376" i="15"/>
  <c r="O87" i="15"/>
  <c r="P373" i="15"/>
  <c r="O84" i="15"/>
  <c r="O369" i="15"/>
  <c r="P380" i="15"/>
  <c r="O91" i="15"/>
  <c r="O83" i="15"/>
  <c r="P372" i="15"/>
  <c r="P81" i="15"/>
  <c r="P451" i="15" s="1"/>
  <c r="P45" i="15" s="1"/>
  <c r="P381" i="15"/>
  <c r="O92" i="15"/>
  <c r="P379" i="15"/>
  <c r="O90" i="15"/>
  <c r="P375" i="15"/>
  <c r="O86" i="15"/>
  <c r="O82" i="15"/>
  <c r="P371" i="15"/>
  <c r="P369" i="15" l="1"/>
  <c r="Q45" i="15"/>
  <c r="Q135" i="15" s="1"/>
  <c r="P86" i="15"/>
  <c r="P83" i="15"/>
  <c r="P87" i="15"/>
  <c r="P84" i="15"/>
  <c r="P90" i="15"/>
  <c r="P88" i="15"/>
  <c r="P82" i="15"/>
  <c r="P91" i="15"/>
  <c r="P85" i="15"/>
  <c r="P135" i="15"/>
  <c r="P92" i="15"/>
  <c r="G15" i="21" l="1"/>
  <c r="N19" i="21"/>
  <c r="E19" i="21"/>
  <c r="E24" i="21" s="1"/>
  <c r="I298" i="15" l="1"/>
  <c r="J298" i="15" s="1"/>
  <c r="J303" i="15" s="1"/>
  <c r="J330" i="15" s="1"/>
  <c r="J290" i="15" s="1"/>
  <c r="K298" i="15"/>
  <c r="G24" i="21"/>
  <c r="H15" i="21"/>
  <c r="E21" i="21"/>
  <c r="F24" i="21"/>
  <c r="E28" i="21"/>
  <c r="I304" i="15" l="1"/>
  <c r="I331" i="15" s="1"/>
  <c r="I335" i="15"/>
  <c r="I302" i="15"/>
  <c r="I329" i="15" s="1"/>
  <c r="I301" i="15"/>
  <c r="I328" i="15" s="1"/>
  <c r="J335" i="15"/>
  <c r="J724" i="15" s="1"/>
  <c r="J302" i="15"/>
  <c r="J329" i="15" s="1"/>
  <c r="J301" i="15"/>
  <c r="J304" i="15"/>
  <c r="J331" i="15" s="1"/>
  <c r="I303" i="15"/>
  <c r="I330" i="15" s="1"/>
  <c r="I290" i="15" s="1"/>
  <c r="I63" i="15" s="1"/>
  <c r="K303" i="15"/>
  <c r="K330" i="15" s="1"/>
  <c r="K290" i="15" s="1"/>
  <c r="K301" i="15"/>
  <c r="K328" i="15" s="1"/>
  <c r="K304" i="15"/>
  <c r="K331" i="15" s="1"/>
  <c r="K302" i="15"/>
  <c r="K329" i="15" s="1"/>
  <c r="K335" i="15"/>
  <c r="L298" i="15"/>
  <c r="J63" i="15"/>
  <c r="I724" i="15"/>
  <c r="I336" i="15"/>
  <c r="I15" i="21"/>
  <c r="H24" i="21"/>
  <c r="J336" i="15" l="1"/>
  <c r="J328" i="15"/>
  <c r="J300" i="15"/>
  <c r="I300" i="15"/>
  <c r="I327" i="15" s="1"/>
  <c r="I326" i="15" s="1"/>
  <c r="J291" i="15"/>
  <c r="J64" i="15" s="1"/>
  <c r="E8" i="27" s="1"/>
  <c r="K300" i="15"/>
  <c r="K327" i="15" s="1"/>
  <c r="K326" i="15" s="1"/>
  <c r="K336" i="15"/>
  <c r="K724" i="15"/>
  <c r="K63" i="15"/>
  <c r="L303" i="15"/>
  <c r="L330" i="15" s="1"/>
  <c r="L290" i="15" s="1"/>
  <c r="M298" i="15"/>
  <c r="L304" i="15"/>
  <c r="L331" i="15" s="1"/>
  <c r="L335" i="15"/>
  <c r="L301" i="15"/>
  <c r="L328" i="15" s="1"/>
  <c r="L302" i="15"/>
  <c r="L329" i="15" s="1"/>
  <c r="F8" i="21"/>
  <c r="E9" i="27"/>
  <c r="D9" i="27"/>
  <c r="E8" i="21"/>
  <c r="I24" i="21"/>
  <c r="J15" i="21"/>
  <c r="I306" i="15" l="1"/>
  <c r="J289" i="15"/>
  <c r="J294" i="15" s="1"/>
  <c r="J67" i="15" s="1"/>
  <c r="I63" i="26" s="1"/>
  <c r="F6" i="21"/>
  <c r="F12" i="21" s="1"/>
  <c r="J725" i="15"/>
  <c r="I59" i="26"/>
  <c r="J327" i="15"/>
  <c r="J326" i="15" s="1"/>
  <c r="J315" i="15" s="1"/>
  <c r="J306" i="15"/>
  <c r="I315" i="15"/>
  <c r="K306" i="15"/>
  <c r="L300" i="15"/>
  <c r="L327" i="15" s="1"/>
  <c r="L326" i="15" s="1"/>
  <c r="L63" i="15"/>
  <c r="M303" i="15"/>
  <c r="M330" i="15" s="1"/>
  <c r="M290" i="15" s="1"/>
  <c r="M335" i="15"/>
  <c r="M304" i="15"/>
  <c r="M331" i="15" s="1"/>
  <c r="M301" i="15"/>
  <c r="M328" i="15" s="1"/>
  <c r="M302" i="15"/>
  <c r="M329" i="15" s="1"/>
  <c r="N298" i="15"/>
  <c r="G8" i="21"/>
  <c r="F9" i="27"/>
  <c r="L336" i="15"/>
  <c r="L724" i="15"/>
  <c r="K315" i="15"/>
  <c r="K291" i="15"/>
  <c r="F7" i="21"/>
  <c r="F27" i="21"/>
  <c r="K15" i="21"/>
  <c r="J24" i="21"/>
  <c r="J296" i="15" l="1"/>
  <c r="J69" i="15" s="1"/>
  <c r="J726" i="15"/>
  <c r="J412" i="15"/>
  <c r="J293" i="15"/>
  <c r="J66" i="15" s="1"/>
  <c r="I62" i="26" s="1"/>
  <c r="J295" i="15"/>
  <c r="J68" i="15" s="1"/>
  <c r="I64" i="26" s="1"/>
  <c r="J292" i="15"/>
  <c r="J65" i="15" s="1"/>
  <c r="I61" i="26" s="1"/>
  <c r="I58" i="26" s="1"/>
  <c r="I66" i="26" s="1"/>
  <c r="I73" i="26" s="1"/>
  <c r="E10" i="27"/>
  <c r="E11" i="27" s="1"/>
  <c r="L306" i="15"/>
  <c r="M300" i="15"/>
  <c r="M327" i="15" s="1"/>
  <c r="M326" i="15" s="1"/>
  <c r="M336" i="15"/>
  <c r="M724" i="15"/>
  <c r="M63" i="15"/>
  <c r="N303" i="15"/>
  <c r="N330" i="15" s="1"/>
  <c r="N290" i="15" s="1"/>
  <c r="N304" i="15"/>
  <c r="N331" i="15" s="1"/>
  <c r="N335" i="15"/>
  <c r="N302" i="15"/>
  <c r="N329" i="15" s="1"/>
  <c r="N301" i="15"/>
  <c r="N328" i="15" s="1"/>
  <c r="O298" i="15"/>
  <c r="K64" i="15"/>
  <c r="K289" i="15"/>
  <c r="K725" i="15"/>
  <c r="I64" i="15"/>
  <c r="I289" i="15"/>
  <c r="I725" i="15"/>
  <c r="L315" i="15"/>
  <c r="L291" i="15"/>
  <c r="H8" i="21"/>
  <c r="G9" i="27"/>
  <c r="L15" i="21"/>
  <c r="K24" i="21"/>
  <c r="J62" i="15" l="1"/>
  <c r="J475" i="15"/>
  <c r="J483" i="15" s="1"/>
  <c r="K483" i="15" s="1"/>
  <c r="L483" i="15" s="1"/>
  <c r="M483" i="15" s="1"/>
  <c r="N483" i="15" s="1"/>
  <c r="J344" i="15"/>
  <c r="J339" i="15"/>
  <c r="J106" i="15" s="1"/>
  <c r="J454" i="15"/>
  <c r="J48" i="15" s="1"/>
  <c r="J464" i="15"/>
  <c r="J32" i="15" s="1"/>
  <c r="J196" i="15"/>
  <c r="N12" i="25" s="1"/>
  <c r="J611" i="15"/>
  <c r="J280" i="15"/>
  <c r="M306" i="15"/>
  <c r="N300" i="15"/>
  <c r="N327" i="15" s="1"/>
  <c r="N326" i="15" s="1"/>
  <c r="L64" i="15"/>
  <c r="L289" i="15"/>
  <c r="L725" i="15"/>
  <c r="N63" i="15"/>
  <c r="F8" i="27"/>
  <c r="G6" i="21"/>
  <c r="J59" i="26"/>
  <c r="M315" i="15"/>
  <c r="M291" i="15"/>
  <c r="K295" i="15"/>
  <c r="K68" i="15" s="1"/>
  <c r="J64" i="26" s="1"/>
  <c r="K412" i="15"/>
  <c r="K292" i="15"/>
  <c r="K65" i="15" s="1"/>
  <c r="K296" i="15"/>
  <c r="K69" i="15" s="1"/>
  <c r="K333" i="15"/>
  <c r="K293" i="15"/>
  <c r="K66" i="15" s="1"/>
  <c r="J62" i="26" s="1"/>
  <c r="K294" i="15"/>
  <c r="K67" i="15" s="1"/>
  <c r="J63" i="26" s="1"/>
  <c r="K726" i="15"/>
  <c r="I293" i="15"/>
  <c r="I66" i="15" s="1"/>
  <c r="H62" i="26" s="1"/>
  <c r="I296" i="15"/>
  <c r="I69" i="15" s="1"/>
  <c r="I294" i="15"/>
  <c r="I67" i="15" s="1"/>
  <c r="H63" i="26" s="1"/>
  <c r="I412" i="15"/>
  <c r="I295" i="15"/>
  <c r="I68" i="15" s="1"/>
  <c r="H64" i="26" s="1"/>
  <c r="I292" i="15"/>
  <c r="I65" i="15" s="1"/>
  <c r="I333" i="15"/>
  <c r="I726" i="15"/>
  <c r="J333" i="15"/>
  <c r="O303" i="15"/>
  <c r="O330" i="15" s="1"/>
  <c r="O290" i="15" s="1"/>
  <c r="O301" i="15"/>
  <c r="O328" i="15" s="1"/>
  <c r="O335" i="15"/>
  <c r="O304" i="15"/>
  <c r="O331" i="15" s="1"/>
  <c r="O302" i="15"/>
  <c r="O329" i="15" s="1"/>
  <c r="P298" i="15"/>
  <c r="H9" i="27"/>
  <c r="I8" i="21"/>
  <c r="N336" i="15"/>
  <c r="N724" i="15"/>
  <c r="D8" i="27"/>
  <c r="E6" i="21"/>
  <c r="H59" i="26"/>
  <c r="L24" i="21"/>
  <c r="M15" i="21"/>
  <c r="J463" i="15" l="1"/>
  <c r="J31" i="15" s="1"/>
  <c r="J30" i="15" s="1"/>
  <c r="J744" i="15"/>
  <c r="J746" i="15" s="1"/>
  <c r="J453" i="15"/>
  <c r="J47" i="15" s="1"/>
  <c r="J615" i="15"/>
  <c r="J589" i="15"/>
  <c r="J599" i="15" s="1"/>
  <c r="J585" i="15"/>
  <c r="N306" i="15"/>
  <c r="O300" i="15"/>
  <c r="O327" i="15" s="1"/>
  <c r="O326" i="15" s="1"/>
  <c r="N315" i="15"/>
  <c r="N291" i="15"/>
  <c r="J8" i="21"/>
  <c r="I9" i="27"/>
  <c r="G12" i="21"/>
  <c r="G7" i="21"/>
  <c r="G27" i="21"/>
  <c r="M64" i="15"/>
  <c r="M289" i="15"/>
  <c r="M725" i="15"/>
  <c r="O336" i="15"/>
  <c r="O724" i="15"/>
  <c r="L294" i="15"/>
  <c r="L67" i="15" s="1"/>
  <c r="K63" i="26" s="1"/>
  <c r="L295" i="15"/>
  <c r="L68" i="15" s="1"/>
  <c r="K64" i="26" s="1"/>
  <c r="L333" i="15"/>
  <c r="L296" i="15"/>
  <c r="L69" i="15" s="1"/>
  <c r="L293" i="15"/>
  <c r="L66" i="15" s="1"/>
  <c r="K62" i="26" s="1"/>
  <c r="L292" i="15"/>
  <c r="L65" i="15" s="1"/>
  <c r="L412" i="15"/>
  <c r="L726" i="15"/>
  <c r="E12" i="21"/>
  <c r="E7" i="21"/>
  <c r="E27" i="21"/>
  <c r="O63" i="15"/>
  <c r="P303" i="15"/>
  <c r="P330" i="15" s="1"/>
  <c r="P290" i="15" s="1"/>
  <c r="P304" i="15"/>
  <c r="P331" i="15" s="1"/>
  <c r="P302" i="15"/>
  <c r="P329" i="15" s="1"/>
  <c r="P335" i="15"/>
  <c r="Q336" i="15" s="1"/>
  <c r="P301" i="15"/>
  <c r="P328" i="15" s="1"/>
  <c r="I62" i="15"/>
  <c r="H61" i="26"/>
  <c r="H58" i="26" s="1"/>
  <c r="H66" i="26" s="1"/>
  <c r="H73" i="26" s="1"/>
  <c r="D10" i="27"/>
  <c r="D11" i="27" s="1"/>
  <c r="F10" i="27"/>
  <c r="F11" i="27" s="1"/>
  <c r="J61" i="26"/>
  <c r="J58" i="26" s="1"/>
  <c r="J66" i="26" s="1"/>
  <c r="J73" i="26" s="1"/>
  <c r="K62" i="15"/>
  <c r="G8" i="27"/>
  <c r="K59" i="26"/>
  <c r="H6" i="21"/>
  <c r="M24" i="21"/>
  <c r="N24" i="21"/>
  <c r="O306" i="15" l="1"/>
  <c r="P300" i="15"/>
  <c r="P327" i="15" s="1"/>
  <c r="P63" i="15"/>
  <c r="H12" i="21"/>
  <c r="H7" i="21"/>
  <c r="H27" i="21"/>
  <c r="L62" i="15"/>
  <c r="P326" i="15"/>
  <c r="J9" i="27"/>
  <c r="K8" i="21"/>
  <c r="K61" i="26"/>
  <c r="K58" i="26" s="1"/>
  <c r="K66" i="26" s="1"/>
  <c r="K73" i="26" s="1"/>
  <c r="G10" i="27"/>
  <c r="G11" i="27" s="1"/>
  <c r="M333" i="15"/>
  <c r="M296" i="15"/>
  <c r="M69" i="15" s="1"/>
  <c r="M293" i="15"/>
  <c r="M66" i="15" s="1"/>
  <c r="L62" i="26" s="1"/>
  <c r="M412" i="15"/>
  <c r="M292" i="15"/>
  <c r="M65" i="15" s="1"/>
  <c r="M294" i="15"/>
  <c r="M67" i="15" s="1"/>
  <c r="L63" i="26" s="1"/>
  <c r="M295" i="15"/>
  <c r="M68" i="15" s="1"/>
  <c r="L64" i="26" s="1"/>
  <c r="M726" i="15"/>
  <c r="I454" i="15"/>
  <c r="I48" i="15" s="1"/>
  <c r="I280" i="15"/>
  <c r="I585" i="15"/>
  <c r="I463" i="15"/>
  <c r="I31" i="15" s="1"/>
  <c r="I475" i="15"/>
  <c r="I399" i="15"/>
  <c r="I615" i="15"/>
  <c r="I464" i="15"/>
  <c r="I32" i="15" s="1"/>
  <c r="I611" i="15"/>
  <c r="I196" i="15"/>
  <c r="I744" i="15"/>
  <c r="I746" i="15" s="1"/>
  <c r="I339" i="15"/>
  <c r="I106" i="15" s="1"/>
  <c r="I589" i="15"/>
  <c r="I344" i="15"/>
  <c r="I453" i="15"/>
  <c r="I47" i="15" s="1"/>
  <c r="J399" i="15"/>
  <c r="J426" i="15" s="1"/>
  <c r="K339" i="15"/>
  <c r="K106" i="15" s="1"/>
  <c r="K585" i="15"/>
  <c r="K453" i="15"/>
  <c r="K47" i="15" s="1"/>
  <c r="K137" i="15" s="1"/>
  <c r="K475" i="15"/>
  <c r="K484" i="15" s="1"/>
  <c r="L484" i="15" s="1"/>
  <c r="M484" i="15" s="1"/>
  <c r="N484" i="15" s="1"/>
  <c r="K611" i="15"/>
  <c r="K280" i="15"/>
  <c r="K344" i="15"/>
  <c r="K744" i="15"/>
  <c r="K746" i="15" s="1"/>
  <c r="K615" i="15"/>
  <c r="K463" i="15"/>
  <c r="K31" i="15" s="1"/>
  <c r="K196" i="15"/>
  <c r="K454" i="15"/>
  <c r="K48" i="15" s="1"/>
  <c r="K138" i="15" s="1"/>
  <c r="K589" i="15"/>
  <c r="K464" i="15"/>
  <c r="K32" i="15" s="1"/>
  <c r="K129" i="15" s="1"/>
  <c r="K399" i="15"/>
  <c r="K426" i="15" s="1"/>
  <c r="H8" i="27"/>
  <c r="I6" i="21"/>
  <c r="L59" i="26"/>
  <c r="P336" i="15"/>
  <c r="P724" i="15"/>
  <c r="O315" i="15"/>
  <c r="O291" i="15"/>
  <c r="N64" i="15"/>
  <c r="N289" i="15"/>
  <c r="N725" i="15"/>
  <c r="P306" i="15"/>
  <c r="I12" i="21" l="1"/>
  <c r="I7" i="21"/>
  <c r="I27" i="21"/>
  <c r="M62" i="15"/>
  <c r="K30" i="15"/>
  <c r="K128" i="15"/>
  <c r="I30" i="15"/>
  <c r="I128" i="15"/>
  <c r="J128" i="15"/>
  <c r="I8" i="27"/>
  <c r="M59" i="26"/>
  <c r="J6" i="21"/>
  <c r="L61" i="26"/>
  <c r="L58" i="26" s="1"/>
  <c r="L66" i="26" s="1"/>
  <c r="L73" i="26" s="1"/>
  <c r="H10" i="27"/>
  <c r="H11" i="27" s="1"/>
  <c r="L463" i="15"/>
  <c r="L31" i="15" s="1"/>
  <c r="L744" i="15"/>
  <c r="L746" i="15" s="1"/>
  <c r="L280" i="15"/>
  <c r="L339" i="15"/>
  <c r="L106" i="15" s="1"/>
  <c r="L611" i="15"/>
  <c r="L464" i="15"/>
  <c r="L32" i="15" s="1"/>
  <c r="L129" i="15" s="1"/>
  <c r="L453" i="15"/>
  <c r="L47" i="15" s="1"/>
  <c r="L137" i="15" s="1"/>
  <c r="L615" i="15"/>
  <c r="L475" i="15"/>
  <c r="L485" i="15" s="1"/>
  <c r="M485" i="15" s="1"/>
  <c r="N485" i="15" s="1"/>
  <c r="O485" i="15" s="1"/>
  <c r="P485" i="15" s="1"/>
  <c r="L196" i="15"/>
  <c r="P12" i="25" s="1"/>
  <c r="L344" i="15"/>
  <c r="L454" i="15"/>
  <c r="L48" i="15" s="1"/>
  <c r="L138" i="15" s="1"/>
  <c r="L589" i="15"/>
  <c r="L585" i="15"/>
  <c r="L399" i="15"/>
  <c r="L426" i="15" s="1"/>
  <c r="O12" i="25"/>
  <c r="K210" i="15"/>
  <c r="M12" i="25"/>
  <c r="I210" i="15"/>
  <c r="J210" i="15"/>
  <c r="O64" i="15"/>
  <c r="O289" i="15"/>
  <c r="O725" i="15"/>
  <c r="O484" i="15"/>
  <c r="I138" i="15"/>
  <c r="J138" i="15"/>
  <c r="Q63" i="15"/>
  <c r="I599" i="15"/>
  <c r="N295" i="15"/>
  <c r="N68" i="15" s="1"/>
  <c r="M64" i="26" s="1"/>
  <c r="N292" i="15"/>
  <c r="N65" i="15" s="1"/>
  <c r="N296" i="15"/>
  <c r="N69" i="15" s="1"/>
  <c r="N293" i="15"/>
  <c r="N66" i="15" s="1"/>
  <c r="M62" i="26" s="1"/>
  <c r="N412" i="15"/>
  <c r="N294" i="15"/>
  <c r="N67" i="15" s="1"/>
  <c r="M63" i="26" s="1"/>
  <c r="N333" i="15"/>
  <c r="N726" i="15"/>
  <c r="I129" i="15"/>
  <c r="J129" i="15"/>
  <c r="L8" i="21"/>
  <c r="K9" i="27"/>
  <c r="I426" i="15"/>
  <c r="I440" i="15" s="1"/>
  <c r="I415" i="15"/>
  <c r="I419" i="15"/>
  <c r="I418" i="15"/>
  <c r="I416" i="15"/>
  <c r="I413" i="15"/>
  <c r="I417" i="15"/>
  <c r="I482" i="15"/>
  <c r="I474" i="15"/>
  <c r="I137" i="15"/>
  <c r="J137" i="15"/>
  <c r="K599" i="15"/>
  <c r="P315" i="15"/>
  <c r="P291" i="15"/>
  <c r="N62" i="15" l="1"/>
  <c r="N454" i="15" s="1"/>
  <c r="N48" i="15" s="1"/>
  <c r="N475" i="15"/>
  <c r="N487" i="15" s="1"/>
  <c r="O487" i="15" s="1"/>
  <c r="P487" i="15" s="1"/>
  <c r="Q487" i="15" s="1"/>
  <c r="N463" i="15"/>
  <c r="N31" i="15" s="1"/>
  <c r="N344" i="15"/>
  <c r="N744" i="15"/>
  <c r="N746" i="15" s="1"/>
  <c r="J415" i="15"/>
  <c r="I19" i="15"/>
  <c r="I404" i="15"/>
  <c r="J7" i="21"/>
  <c r="J12" i="21"/>
  <c r="J27" i="21"/>
  <c r="L599" i="15"/>
  <c r="N399" i="15"/>
  <c r="N426" i="15" s="1"/>
  <c r="M339" i="15"/>
  <c r="M106" i="15" s="1"/>
  <c r="M615" i="15"/>
  <c r="M344" i="15"/>
  <c r="M453" i="15"/>
  <c r="M47" i="15" s="1"/>
  <c r="M137" i="15" s="1"/>
  <c r="M475" i="15"/>
  <c r="M486" i="15" s="1"/>
  <c r="N486" i="15" s="1"/>
  <c r="M611" i="15"/>
  <c r="M464" i="15"/>
  <c r="M32" i="15" s="1"/>
  <c r="M129" i="15" s="1"/>
  <c r="M196" i="15"/>
  <c r="M210" i="15" s="1"/>
  <c r="M399" i="15"/>
  <c r="M426" i="15" s="1"/>
  <c r="M280" i="15"/>
  <c r="M454" i="15"/>
  <c r="M48" i="15" s="1"/>
  <c r="M138" i="15" s="1"/>
  <c r="M585" i="15"/>
  <c r="M463" i="15"/>
  <c r="M31" i="15" s="1"/>
  <c r="M589" i="15"/>
  <c r="M744" i="15"/>
  <c r="M746" i="15" s="1"/>
  <c r="I493" i="15"/>
  <c r="I27" i="15" s="1"/>
  <c r="I140" i="15" s="1"/>
  <c r="J474" i="15"/>
  <c r="I17" i="15"/>
  <c r="I402" i="15"/>
  <c r="J413" i="15"/>
  <c r="I414" i="15"/>
  <c r="J440" i="15"/>
  <c r="I39" i="15"/>
  <c r="I133" i="15" s="1"/>
  <c r="J416" i="15"/>
  <c r="I20" i="15"/>
  <c r="I405" i="15"/>
  <c r="O296" i="15"/>
  <c r="O69" i="15" s="1"/>
  <c r="O293" i="15"/>
  <c r="O66" i="15" s="1"/>
  <c r="N62" i="26" s="1"/>
  <c r="O412" i="15"/>
  <c r="O295" i="15"/>
  <c r="O68" i="15" s="1"/>
  <c r="N64" i="26" s="1"/>
  <c r="O292" i="15"/>
  <c r="O65" i="15" s="1"/>
  <c r="O294" i="15"/>
  <c r="O67" i="15" s="1"/>
  <c r="N63" i="26" s="1"/>
  <c r="O333" i="15"/>
  <c r="O726" i="15"/>
  <c r="I10" i="27"/>
  <c r="I11" i="27" s="1"/>
  <c r="M61" i="26"/>
  <c r="M58" i="26" s="1"/>
  <c r="M66" i="26" s="1"/>
  <c r="M73" i="26" s="1"/>
  <c r="P64" i="15"/>
  <c r="P289" i="15"/>
  <c r="Q333" i="15" s="1"/>
  <c r="P725" i="15"/>
  <c r="J482" i="15"/>
  <c r="I477" i="15"/>
  <c r="I406" i="15"/>
  <c r="J417" i="15"/>
  <c r="I21" i="15"/>
  <c r="I407" i="15"/>
  <c r="I22" i="15"/>
  <c r="J418" i="15"/>
  <c r="M8" i="21"/>
  <c r="L9" i="27"/>
  <c r="J8" i="27"/>
  <c r="N59" i="26"/>
  <c r="K6" i="21"/>
  <c r="I408" i="15"/>
  <c r="J419" i="15"/>
  <c r="I23" i="15"/>
  <c r="L210" i="15"/>
  <c r="L30" i="15"/>
  <c r="L128" i="15"/>
  <c r="N453" i="15" l="1"/>
  <c r="N47" i="15" s="1"/>
  <c r="N196" i="15"/>
  <c r="N464" i="15"/>
  <c r="N32" i="15" s="1"/>
  <c r="N30" i="15" s="1"/>
  <c r="N615" i="15"/>
  <c r="N339" i="15"/>
  <c r="N106" i="15" s="1"/>
  <c r="N589" i="15"/>
  <c r="N599" i="15" s="1"/>
  <c r="N280" i="15"/>
  <c r="N585" i="15"/>
  <c r="N611" i="15"/>
  <c r="O62" i="15"/>
  <c r="O463" i="15" s="1"/>
  <c r="O31" i="15" s="1"/>
  <c r="O399" i="15"/>
  <c r="O426" i="15" s="1"/>
  <c r="O454" i="15"/>
  <c r="O48" i="15" s="1"/>
  <c r="O138" i="15" s="1"/>
  <c r="O744" i="15"/>
  <c r="O746" i="15" s="1"/>
  <c r="Q64" i="15"/>
  <c r="Q78" i="15" s="1"/>
  <c r="N137" i="15"/>
  <c r="N210" i="15"/>
  <c r="K440" i="15"/>
  <c r="J39" i="15"/>
  <c r="J133" i="15" s="1"/>
  <c r="K417" i="15"/>
  <c r="J21" i="15"/>
  <c r="J406" i="15"/>
  <c r="I495" i="15"/>
  <c r="I94" i="15" s="1"/>
  <c r="I80" i="15" s="1"/>
  <c r="I478" i="15"/>
  <c r="I18" i="15"/>
  <c r="I16" i="15" s="1"/>
  <c r="I421" i="15"/>
  <c r="I403" i="15"/>
  <c r="K482" i="15"/>
  <c r="J477" i="15"/>
  <c r="J495" i="15" s="1"/>
  <c r="J94" i="15" s="1"/>
  <c r="J80" i="15" s="1"/>
  <c r="J17" i="15"/>
  <c r="K413" i="15"/>
  <c r="J402" i="15"/>
  <c r="J414" i="15"/>
  <c r="M599" i="15"/>
  <c r="J408" i="15"/>
  <c r="J23" i="15"/>
  <c r="K419" i="15"/>
  <c r="J22" i="15"/>
  <c r="J407" i="15"/>
  <c r="K418" i="15"/>
  <c r="N128" i="15"/>
  <c r="M30" i="15"/>
  <c r="M128" i="15"/>
  <c r="O486" i="15"/>
  <c r="N477" i="15"/>
  <c r="N495" i="15" s="1"/>
  <c r="N94" i="15" s="1"/>
  <c r="N80" i="15" s="1"/>
  <c r="K474" i="15"/>
  <c r="J493" i="15"/>
  <c r="J27" i="15" s="1"/>
  <c r="J140" i="15" s="1"/>
  <c r="P294" i="15"/>
  <c r="P67" i="15" s="1"/>
  <c r="O63" i="26" s="1"/>
  <c r="P295" i="15"/>
  <c r="P68" i="15" s="1"/>
  <c r="O64" i="26" s="1"/>
  <c r="P292" i="15"/>
  <c r="P65" i="15" s="1"/>
  <c r="P296" i="15"/>
  <c r="P69" i="15" s="1"/>
  <c r="P293" i="15"/>
  <c r="P66" i="15" s="1"/>
  <c r="O62" i="26" s="1"/>
  <c r="P412" i="15"/>
  <c r="P333" i="15"/>
  <c r="P726" i="15"/>
  <c r="N61" i="26"/>
  <c r="N58" i="26" s="1"/>
  <c r="N66" i="26" s="1"/>
  <c r="N73" i="26" s="1"/>
  <c r="J10" i="27"/>
  <c r="J11" i="27" s="1"/>
  <c r="J405" i="15"/>
  <c r="J20" i="15"/>
  <c r="K416" i="15"/>
  <c r="K415" i="15"/>
  <c r="J404" i="15"/>
  <c r="J19" i="15"/>
  <c r="K12" i="21"/>
  <c r="K7" i="21"/>
  <c r="K27" i="21"/>
  <c r="K8" i="27"/>
  <c r="O59" i="26"/>
  <c r="L6" i="21"/>
  <c r="N138" i="15"/>
  <c r="N129" i="15" l="1"/>
  <c r="O453" i="15"/>
  <c r="O47" i="15" s="1"/>
  <c r="O280" i="15"/>
  <c r="O464" i="15"/>
  <c r="O32" i="15" s="1"/>
  <c r="O344" i="15"/>
  <c r="O611" i="15"/>
  <c r="O615" i="15"/>
  <c r="O339" i="15"/>
  <c r="O106" i="15" s="1"/>
  <c r="O196" i="15"/>
  <c r="O210" i="15" s="1"/>
  <c r="O585" i="15"/>
  <c r="O589" i="15"/>
  <c r="O475" i="15"/>
  <c r="O488" i="15" s="1"/>
  <c r="P488" i="15" s="1"/>
  <c r="Q488" i="15" s="1"/>
  <c r="K493" i="15"/>
  <c r="K27" i="15" s="1"/>
  <c r="K140" i="15" s="1"/>
  <c r="L474" i="15"/>
  <c r="K407" i="15"/>
  <c r="L418" i="15"/>
  <c r="K22" i="15"/>
  <c r="J18" i="15"/>
  <c r="J16" i="15" s="1"/>
  <c r="J403" i="15"/>
  <c r="J421" i="15"/>
  <c r="I228" i="15"/>
  <c r="I127" i="15"/>
  <c r="I126" i="15" s="1"/>
  <c r="I579" i="15"/>
  <c r="K19" i="15"/>
  <c r="L415" i="15"/>
  <c r="K404" i="15"/>
  <c r="K39" i="15"/>
  <c r="K133" i="15" s="1"/>
  <c r="L440" i="15"/>
  <c r="I494" i="15"/>
  <c r="I28" i="15" s="1"/>
  <c r="I26" i="15" s="1"/>
  <c r="I229" i="15" s="1"/>
  <c r="J478" i="15"/>
  <c r="O137" i="15"/>
  <c r="K402" i="15"/>
  <c r="L413" i="15"/>
  <c r="K17" i="15"/>
  <c r="K414" i="15"/>
  <c r="I452" i="15"/>
  <c r="I46" i="15" s="1"/>
  <c r="I613" i="15"/>
  <c r="D22" i="27"/>
  <c r="D23" i="27" s="1"/>
  <c r="I200" i="15"/>
  <c r="E44" i="21"/>
  <c r="J44" i="21"/>
  <c r="N452" i="15"/>
  <c r="N46" i="15" s="1"/>
  <c r="N200" i="15"/>
  <c r="N613" i="15"/>
  <c r="I22" i="27"/>
  <c r="I23" i="27" s="1"/>
  <c r="L419" i="15"/>
  <c r="K408" i="15"/>
  <c r="K23" i="15"/>
  <c r="J452" i="15"/>
  <c r="J46" i="15" s="1"/>
  <c r="F44" i="21"/>
  <c r="J200" i="15"/>
  <c r="E22" i="27"/>
  <c r="E23" i="27" s="1"/>
  <c r="J613" i="15"/>
  <c r="Q65" i="15"/>
  <c r="Q69" i="15"/>
  <c r="Q68" i="15"/>
  <c r="P64" i="26" s="1"/>
  <c r="Q66" i="15"/>
  <c r="P62" i="26" s="1"/>
  <c r="Q67" i="15"/>
  <c r="P63" i="26" s="1"/>
  <c r="O30" i="15"/>
  <c r="O128" i="15"/>
  <c r="K10" i="27"/>
  <c r="K11" i="27" s="1"/>
  <c r="O61" i="26"/>
  <c r="O58" i="26" s="1"/>
  <c r="O66" i="26" s="1"/>
  <c r="O73" i="26" s="1"/>
  <c r="L482" i="15"/>
  <c r="K477" i="15"/>
  <c r="K495" i="15" s="1"/>
  <c r="K94" i="15" s="1"/>
  <c r="K80" i="15" s="1"/>
  <c r="L417" i="15"/>
  <c r="K21" i="15"/>
  <c r="K406" i="15"/>
  <c r="L8" i="27"/>
  <c r="P59" i="26"/>
  <c r="M6" i="21"/>
  <c r="O129" i="15"/>
  <c r="L416" i="15"/>
  <c r="K405" i="15"/>
  <c r="K20" i="15"/>
  <c r="P486" i="15"/>
  <c r="Q486" i="15" s="1"/>
  <c r="O477" i="15"/>
  <c r="O495" i="15" s="1"/>
  <c r="O94" i="15" s="1"/>
  <c r="O80" i="15" s="1"/>
  <c r="P62" i="15"/>
  <c r="L7" i="21"/>
  <c r="L27" i="21"/>
  <c r="O599" i="15"/>
  <c r="Q62" i="15" l="1"/>
  <c r="K44" i="21"/>
  <c r="O452" i="15"/>
  <c r="O46" i="15" s="1"/>
  <c r="J22" i="27"/>
  <c r="J23" i="27" s="1"/>
  <c r="O200" i="15"/>
  <c r="O613" i="15"/>
  <c r="M482" i="15"/>
  <c r="M477" i="15" s="1"/>
  <c r="M495" i="15" s="1"/>
  <c r="M94" i="15" s="1"/>
  <c r="M80" i="15" s="1"/>
  <c r="L477" i="15"/>
  <c r="L495" i="15" s="1"/>
  <c r="L94" i="15" s="1"/>
  <c r="L80" i="15" s="1"/>
  <c r="J618" i="15"/>
  <c r="J214" i="15"/>
  <c r="N15" i="25"/>
  <c r="I618" i="15"/>
  <c r="M15" i="25"/>
  <c r="I214" i="15"/>
  <c r="L404" i="15"/>
  <c r="L19" i="15"/>
  <c r="M415" i="15"/>
  <c r="J579" i="15"/>
  <c r="J228" i="15"/>
  <c r="J127" i="15"/>
  <c r="J126" i="15" s="1"/>
  <c r="M419" i="15"/>
  <c r="L408" i="15"/>
  <c r="L23" i="15"/>
  <c r="N618" i="15"/>
  <c r="P454" i="15"/>
  <c r="P48" i="15" s="1"/>
  <c r="P138" i="15" s="1"/>
  <c r="P589" i="15"/>
  <c r="P280" i="15"/>
  <c r="P344" i="15"/>
  <c r="P399" i="15"/>
  <c r="P426" i="15" s="1"/>
  <c r="P196" i="15"/>
  <c r="P210" i="15" s="1"/>
  <c r="P744" i="15"/>
  <c r="P746" i="15" s="1"/>
  <c r="P611" i="15"/>
  <c r="P463" i="15"/>
  <c r="P31" i="15" s="1"/>
  <c r="P339" i="15"/>
  <c r="P106" i="15" s="1"/>
  <c r="P453" i="15"/>
  <c r="P47" i="15" s="1"/>
  <c r="P137" i="15" s="1"/>
  <c r="P475" i="15"/>
  <c r="P489" i="15" s="1"/>
  <c r="Q489" i="15" s="1"/>
  <c r="P464" i="15"/>
  <c r="P32" i="15" s="1"/>
  <c r="P129" i="15" s="1"/>
  <c r="P585" i="15"/>
  <c r="P615" i="15"/>
  <c r="J136" i="15"/>
  <c r="J42" i="15"/>
  <c r="J233" i="15" s="1"/>
  <c r="N42" i="15"/>
  <c r="N233" i="15" s="1"/>
  <c r="K478" i="15"/>
  <c r="J494" i="15"/>
  <c r="J28" i="15" s="1"/>
  <c r="J26" i="15" s="1"/>
  <c r="J229" i="15" s="1"/>
  <c r="L407" i="15"/>
  <c r="M418" i="15"/>
  <c r="L22" i="15"/>
  <c r="L402" i="15"/>
  <c r="M413" i="15"/>
  <c r="L17" i="15"/>
  <c r="L414" i="15"/>
  <c r="I42" i="15"/>
  <c r="I233" i="15" s="1"/>
  <c r="I255" i="15" s="1"/>
  <c r="I136" i="15"/>
  <c r="I251" i="15"/>
  <c r="M26" i="25"/>
  <c r="L405" i="15"/>
  <c r="L20" i="15"/>
  <c r="M416" i="15"/>
  <c r="M417" i="15"/>
  <c r="L21" i="15"/>
  <c r="L406" i="15"/>
  <c r="K421" i="15"/>
  <c r="K403" i="15"/>
  <c r="K18" i="15"/>
  <c r="K16" i="15" s="1"/>
  <c r="M474" i="15"/>
  <c r="L493" i="15"/>
  <c r="L27" i="15" s="1"/>
  <c r="L140" i="15" s="1"/>
  <c r="M7" i="21"/>
  <c r="M27" i="21"/>
  <c r="K613" i="15"/>
  <c r="K452" i="15"/>
  <c r="K46" i="15" s="1"/>
  <c r="K200" i="15"/>
  <c r="G44" i="21"/>
  <c r="F22" i="27"/>
  <c r="F23" i="27" s="1"/>
  <c r="L10" i="27"/>
  <c r="L11" i="27" s="1"/>
  <c r="P61" i="26"/>
  <c r="P58" i="26" s="1"/>
  <c r="P66" i="26" s="1"/>
  <c r="P73" i="26" s="1"/>
  <c r="L39" i="15"/>
  <c r="L133" i="15" s="1"/>
  <c r="M440" i="15"/>
  <c r="M25" i="25"/>
  <c r="I250" i="15"/>
  <c r="Q399" i="15" l="1"/>
  <c r="Q426" i="15" s="1"/>
  <c r="Q589" i="15"/>
  <c r="Q463" i="15"/>
  <c r="Q31" i="15" s="1"/>
  <c r="Q128" i="15" s="1"/>
  <c r="Q585" i="15"/>
  <c r="Q744" i="15"/>
  <c r="Q746" i="15" s="1"/>
  <c r="Q75" i="15"/>
  <c r="Q464" i="15"/>
  <c r="Q32" i="15" s="1"/>
  <c r="Q129" i="15" s="1"/>
  <c r="Q611" i="15"/>
  <c r="Q280" i="15"/>
  <c r="Q454" i="15"/>
  <c r="Q48" i="15" s="1"/>
  <c r="Q138" i="15" s="1"/>
  <c r="Q196" i="15"/>
  <c r="Q210" i="15" s="1"/>
  <c r="Q453" i="15"/>
  <c r="Q47" i="15" s="1"/>
  <c r="Q137" i="15" s="1"/>
  <c r="Q339" i="15"/>
  <c r="Q106" i="15" s="1"/>
  <c r="Q344" i="15"/>
  <c r="Q475" i="15"/>
  <c r="Q490" i="15" s="1"/>
  <c r="Q477" i="15" s="1"/>
  <c r="Q495" i="15" s="1"/>
  <c r="Q94" i="15" s="1"/>
  <c r="Q80" i="15" s="1"/>
  <c r="Q77" i="15"/>
  <c r="Q356" i="15" s="1"/>
  <c r="Q615" i="15"/>
  <c r="Q612" i="15"/>
  <c r="J255" i="15"/>
  <c r="P477" i="15"/>
  <c r="P495" i="15" s="1"/>
  <c r="P94" i="15" s="1"/>
  <c r="P80" i="15" s="1"/>
  <c r="P200" i="15" s="1"/>
  <c r="M408" i="15"/>
  <c r="N419" i="15"/>
  <c r="M23" i="15"/>
  <c r="H22" i="27"/>
  <c r="H23" i="27" s="1"/>
  <c r="M200" i="15"/>
  <c r="M452" i="15"/>
  <c r="M46" i="15" s="1"/>
  <c r="I44" i="21"/>
  <c r="M613" i="15"/>
  <c r="N440" i="15"/>
  <c r="M39" i="15"/>
  <c r="M133" i="15" s="1"/>
  <c r="M22" i="15"/>
  <c r="N418" i="15"/>
  <c r="M407" i="15"/>
  <c r="P30" i="15"/>
  <c r="P128" i="15"/>
  <c r="P599" i="15"/>
  <c r="L613" i="15"/>
  <c r="H44" i="21"/>
  <c r="L452" i="15"/>
  <c r="L46" i="15" s="1"/>
  <c r="L200" i="15"/>
  <c r="G22" i="27"/>
  <c r="G23" i="27" s="1"/>
  <c r="O618" i="15"/>
  <c r="O214" i="15"/>
  <c r="M406" i="15"/>
  <c r="N417" i="15"/>
  <c r="M21" i="15"/>
  <c r="J251" i="15"/>
  <c r="N26" i="25"/>
  <c r="N25" i="25"/>
  <c r="J250" i="15"/>
  <c r="L18" i="15"/>
  <c r="L16" i="15" s="1"/>
  <c r="L403" i="15"/>
  <c r="L421" i="15"/>
  <c r="L478" i="15"/>
  <c r="K494" i="15"/>
  <c r="K28" i="15" s="1"/>
  <c r="K26" i="15" s="1"/>
  <c r="K229" i="15" s="1"/>
  <c r="O42" i="15"/>
  <c r="O233" i="15" s="1"/>
  <c r="O255" i="15" s="1"/>
  <c r="O136" i="15"/>
  <c r="M20" i="15"/>
  <c r="M405" i="15"/>
  <c r="N416" i="15"/>
  <c r="N474" i="15"/>
  <c r="M493" i="15"/>
  <c r="M27" i="15" s="1"/>
  <c r="M140" i="15" s="1"/>
  <c r="N415" i="15"/>
  <c r="M19" i="15"/>
  <c r="M404" i="15"/>
  <c r="K136" i="15"/>
  <c r="K42" i="15"/>
  <c r="K233" i="15" s="1"/>
  <c r="K255" i="15" s="1"/>
  <c r="K214" i="15"/>
  <c r="K618" i="15"/>
  <c r="O15" i="25"/>
  <c r="K127" i="15"/>
  <c r="K126" i="15" s="1"/>
  <c r="K579" i="15"/>
  <c r="K228" i="15"/>
  <c r="M402" i="15"/>
  <c r="M17" i="15"/>
  <c r="N413" i="15"/>
  <c r="M414" i="15"/>
  <c r="Q200" i="15" l="1"/>
  <c r="Q452" i="15"/>
  <c r="Q613" i="15"/>
  <c r="L22" i="27"/>
  <c r="L23" i="27" s="1"/>
  <c r="Q30" i="15"/>
  <c r="Q599" i="15"/>
  <c r="Q597" i="15" s="1"/>
  <c r="Q198" i="15"/>
  <c r="Q76" i="15"/>
  <c r="Q101" i="15"/>
  <c r="Q46" i="15"/>
  <c r="M44" i="21"/>
  <c r="K22" i="27"/>
  <c r="K23" i="27" s="1"/>
  <c r="P613" i="15"/>
  <c r="L44" i="21"/>
  <c r="P452" i="15"/>
  <c r="P46" i="15" s="1"/>
  <c r="P136" i="15" s="1"/>
  <c r="L127" i="15"/>
  <c r="L126" i="15" s="1"/>
  <c r="L579" i="15"/>
  <c r="L228" i="15"/>
  <c r="M42" i="15"/>
  <c r="M233" i="15" s="1"/>
  <c r="M136" i="15"/>
  <c r="N136" i="15"/>
  <c r="M618" i="15"/>
  <c r="M214" i="15"/>
  <c r="N214" i="15"/>
  <c r="M421" i="15"/>
  <c r="M18" i="15"/>
  <c r="M16" i="15" s="1"/>
  <c r="M403" i="15"/>
  <c r="N402" i="15"/>
  <c r="O413" i="15"/>
  <c r="N17" i="15"/>
  <c r="N414" i="15"/>
  <c r="K251" i="15"/>
  <c r="O26" i="25"/>
  <c r="N407" i="15"/>
  <c r="O418" i="15"/>
  <c r="N22" i="15"/>
  <c r="P214" i="15"/>
  <c r="P618" i="15"/>
  <c r="L494" i="15"/>
  <c r="L28" i="15" s="1"/>
  <c r="L26" i="15" s="1"/>
  <c r="L229" i="15" s="1"/>
  <c r="M478" i="15"/>
  <c r="P15" i="25"/>
  <c r="L618" i="15"/>
  <c r="L214" i="15"/>
  <c r="O474" i="15"/>
  <c r="N493" i="15"/>
  <c r="N27" i="15" s="1"/>
  <c r="N140" i="15" s="1"/>
  <c r="L136" i="15"/>
  <c r="L42" i="15"/>
  <c r="L233" i="15" s="1"/>
  <c r="L255" i="15" s="1"/>
  <c r="N408" i="15"/>
  <c r="O419" i="15"/>
  <c r="N23" i="15"/>
  <c r="N404" i="15"/>
  <c r="O415" i="15"/>
  <c r="N19" i="15"/>
  <c r="O25" i="25"/>
  <c r="K250" i="15"/>
  <c r="N20" i="15"/>
  <c r="O416" i="15"/>
  <c r="N405" i="15"/>
  <c r="N21" i="15"/>
  <c r="O417" i="15"/>
  <c r="N406" i="15"/>
  <c r="O440" i="15"/>
  <c r="N39" i="15"/>
  <c r="N133" i="15" s="1"/>
  <c r="Q136" i="15" l="1"/>
  <c r="Q98" i="15"/>
  <c r="Q201" i="15"/>
  <c r="Q102" i="15"/>
  <c r="Q42" i="15"/>
  <c r="Q233" i="15" s="1"/>
  <c r="Q255" i="15" s="1"/>
  <c r="Q622" i="15"/>
  <c r="Q199" i="15"/>
  <c r="Q618" i="15"/>
  <c r="Q214" i="15"/>
  <c r="P42" i="15"/>
  <c r="P233" i="15" s="1"/>
  <c r="P255" i="15" s="1"/>
  <c r="P419" i="15"/>
  <c r="Q419" i="15" s="1"/>
  <c r="Q408" i="15" s="1"/>
  <c r="O408" i="15"/>
  <c r="O23" i="15"/>
  <c r="O407" i="15"/>
  <c r="O22" i="15"/>
  <c r="P418" i="15"/>
  <c r="Q418" i="15" s="1"/>
  <c r="Q407" i="15" s="1"/>
  <c r="M255" i="15"/>
  <c r="N255" i="15"/>
  <c r="M127" i="15"/>
  <c r="M126" i="15" s="1"/>
  <c r="M228" i="15"/>
  <c r="M250" i="15" s="1"/>
  <c r="M579" i="15"/>
  <c r="M494" i="15"/>
  <c r="M28" i="15" s="1"/>
  <c r="M26" i="15" s="1"/>
  <c r="M229" i="15" s="1"/>
  <c r="M251" i="15" s="1"/>
  <c r="N478" i="15"/>
  <c r="P26" i="25"/>
  <c r="L251" i="15"/>
  <c r="N403" i="15"/>
  <c r="N18" i="15"/>
  <c r="N16" i="15" s="1"/>
  <c r="N421" i="15"/>
  <c r="L250" i="15"/>
  <c r="P25" i="25"/>
  <c r="O21" i="15"/>
  <c r="O406" i="15"/>
  <c r="P417" i="15"/>
  <c r="Q417" i="15" s="1"/>
  <c r="Q406" i="15" s="1"/>
  <c r="O19" i="15"/>
  <c r="P415" i="15"/>
  <c r="Q415" i="15" s="1"/>
  <c r="Q404" i="15" s="1"/>
  <c r="O404" i="15"/>
  <c r="O20" i="15"/>
  <c r="P416" i="15"/>
  <c r="Q416" i="15" s="1"/>
  <c r="Q405" i="15" s="1"/>
  <c r="O405" i="15"/>
  <c r="P440" i="15"/>
  <c r="Q440" i="15" s="1"/>
  <c r="Q437" i="15" s="1"/>
  <c r="Q436" i="15" s="1"/>
  <c r="Q435" i="15" s="1"/>
  <c r="O39" i="15"/>
  <c r="O133" i="15" s="1"/>
  <c r="O493" i="15"/>
  <c r="O27" i="15" s="1"/>
  <c r="O140" i="15" s="1"/>
  <c r="P474" i="15"/>
  <c r="Q474" i="15" s="1"/>
  <c r="Q493" i="15" s="1"/>
  <c r="P413" i="15"/>
  <c r="Q413" i="15" s="1"/>
  <c r="O402" i="15"/>
  <c r="O17" i="15"/>
  <c r="O414" i="15"/>
  <c r="Q202" i="15" l="1"/>
  <c r="Q623" i="15"/>
  <c r="Q856" i="15"/>
  <c r="Q99" i="15"/>
  <c r="Q124" i="15"/>
  <c r="Q402" i="15"/>
  <c r="Q414" i="15"/>
  <c r="P405" i="15"/>
  <c r="P20" i="15"/>
  <c r="O478" i="15"/>
  <c r="N494" i="15"/>
  <c r="N28" i="15" s="1"/>
  <c r="N26" i="15" s="1"/>
  <c r="N229" i="15" s="1"/>
  <c r="N251" i="15" s="1"/>
  <c r="P407" i="15"/>
  <c r="P22" i="15"/>
  <c r="P406" i="15"/>
  <c r="P21" i="15"/>
  <c r="N579" i="15"/>
  <c r="N228" i="15"/>
  <c r="N250" i="15" s="1"/>
  <c r="N127" i="15"/>
  <c r="N126" i="15" s="1"/>
  <c r="P39" i="15"/>
  <c r="P133" i="15" s="1"/>
  <c r="Q39" i="15"/>
  <c r="P402" i="15"/>
  <c r="P17" i="15"/>
  <c r="P414" i="15"/>
  <c r="Q27" i="15"/>
  <c r="P493" i="15"/>
  <c r="P27" i="15" s="1"/>
  <c r="P140" i="15" s="1"/>
  <c r="P19" i="15"/>
  <c r="P404" i="15"/>
  <c r="O18" i="15"/>
  <c r="O16" i="15" s="1"/>
  <c r="O403" i="15"/>
  <c r="O421" i="15"/>
  <c r="P408" i="15"/>
  <c r="P23" i="15"/>
  <c r="Q140" i="15" l="1"/>
  <c r="Q421" i="15"/>
  <c r="Q403" i="15"/>
  <c r="Q133" i="15"/>
  <c r="Q22" i="15"/>
  <c r="Q17" i="15"/>
  <c r="P478" i="15"/>
  <c r="Q478" i="15" s="1"/>
  <c r="Q494" i="15" s="1"/>
  <c r="O494" i="15"/>
  <c r="O28" i="15" s="1"/>
  <c r="O26" i="15" s="1"/>
  <c r="O229" i="15" s="1"/>
  <c r="O251" i="15" s="1"/>
  <c r="O127" i="15"/>
  <c r="O126" i="15" s="1"/>
  <c r="O228" i="15"/>
  <c r="O250" i="15" s="1"/>
  <c r="O579" i="15"/>
  <c r="Q21" i="15"/>
  <c r="Q23" i="15"/>
  <c r="Q20" i="15"/>
  <c r="P403" i="15"/>
  <c r="P18" i="15"/>
  <c r="P16" i="15" s="1"/>
  <c r="P421" i="15"/>
  <c r="Q19" i="15"/>
  <c r="Q18" i="15" l="1"/>
  <c r="Q16" i="15" s="1"/>
  <c r="P127" i="15"/>
  <c r="P126" i="15" s="1"/>
  <c r="P228" i="15"/>
  <c r="P250" i="15" s="1"/>
  <c r="P579" i="15"/>
  <c r="Q28" i="15"/>
  <c r="Q26" i="15" s="1"/>
  <c r="Q229" i="15" s="1"/>
  <c r="P494" i="15"/>
  <c r="P28" i="15" s="1"/>
  <c r="P26" i="15" s="1"/>
  <c r="P229" i="15" s="1"/>
  <c r="P251" i="15" s="1"/>
  <c r="Q251" i="15" l="1"/>
  <c r="Q579" i="15"/>
  <c r="Q228" i="15"/>
  <c r="Q250" i="15" s="1"/>
  <c r="Q127" i="15"/>
  <c r="Q126" i="15" s="1"/>
  <c r="G358" i="15"/>
  <c r="G360" i="15"/>
  <c r="G73" i="15" s="1"/>
  <c r="G71" i="15" s="1"/>
  <c r="K359" i="15"/>
  <c r="K72" i="15" s="1"/>
  <c r="K358" i="15"/>
  <c r="K360" i="15"/>
  <c r="K73" i="15" s="1"/>
  <c r="F14" i="27" s="1"/>
  <c r="O359" i="15"/>
  <c r="O72" i="15" s="1"/>
  <c r="O358" i="15"/>
  <c r="O360" i="15"/>
  <c r="O73" i="15" s="1"/>
  <c r="J14" i="27" s="1"/>
  <c r="N359" i="15"/>
  <c r="N72" i="15" s="1"/>
  <c r="N358" i="15"/>
  <c r="N360" i="15"/>
  <c r="N73" i="15" s="1"/>
  <c r="I14" i="27" s="1"/>
  <c r="P359" i="15"/>
  <c r="P72" i="15" s="1"/>
  <c r="P358" i="15"/>
  <c r="P360" i="15"/>
  <c r="P73" i="15" s="1"/>
  <c r="K14" i="27" s="1"/>
  <c r="L359" i="15"/>
  <c r="L72" i="15" s="1"/>
  <c r="G13" i="27" s="1"/>
  <c r="L358" i="15"/>
  <c r="L360" i="15"/>
  <c r="L73" i="15" s="1"/>
  <c r="G14" i="27" s="1"/>
  <c r="J359" i="15"/>
  <c r="J72" i="15" s="1"/>
  <c r="J358" i="15"/>
  <c r="J360" i="15"/>
  <c r="J73" i="15" s="1"/>
  <c r="E14" i="27" s="1"/>
  <c r="L14" i="27"/>
  <c r="I359" i="15"/>
  <c r="I72" i="15" s="1"/>
  <c r="D13" i="27" s="1"/>
  <c r="I358" i="15"/>
  <c r="I360" i="15"/>
  <c r="I73" i="15" s="1"/>
  <c r="M359" i="15"/>
  <c r="M72" i="15" s="1"/>
  <c r="M358" i="15"/>
  <c r="M360" i="15"/>
  <c r="M73" i="15" s="1"/>
  <c r="H14" i="27" s="1"/>
  <c r="C33" i="21" l="1"/>
  <c r="M71" i="15"/>
  <c r="M75" i="15" s="1"/>
  <c r="K71" i="15"/>
  <c r="K600" i="15" s="1"/>
  <c r="K597" i="15" s="1"/>
  <c r="P71" i="15"/>
  <c r="K13" i="27"/>
  <c r="K15" i="27" s="1"/>
  <c r="P78" i="15"/>
  <c r="M77" i="15"/>
  <c r="M356" i="15" s="1"/>
  <c r="M745" i="15"/>
  <c r="M747" i="15" s="1"/>
  <c r="G437" i="15"/>
  <c r="G436" i="15" s="1"/>
  <c r="G612" i="15"/>
  <c r="G600" i="15"/>
  <c r="G597" i="15" s="1"/>
  <c r="G77" i="15"/>
  <c r="G356" i="15" s="1"/>
  <c r="G197" i="15"/>
  <c r="G745" i="15"/>
  <c r="G747" i="15" s="1"/>
  <c r="G75" i="15"/>
  <c r="G176" i="15"/>
  <c r="F68" i="26"/>
  <c r="I71" i="15"/>
  <c r="D14" i="27"/>
  <c r="D15" i="27" s="1"/>
  <c r="J78" i="15"/>
  <c r="E13" i="27"/>
  <c r="E15" i="27" s="1"/>
  <c r="J71" i="15"/>
  <c r="O71" i="15"/>
  <c r="O78" i="15"/>
  <c r="J13" i="27"/>
  <c r="J15" i="27" s="1"/>
  <c r="K437" i="15"/>
  <c r="K436" i="15" s="1"/>
  <c r="K612" i="15"/>
  <c r="G15" i="27"/>
  <c r="I13" i="27"/>
  <c r="I15" i="27" s="1"/>
  <c r="N78" i="15"/>
  <c r="N71" i="15"/>
  <c r="I78" i="15"/>
  <c r="L13" i="27"/>
  <c r="L15" i="27" s="1"/>
  <c r="L71" i="15"/>
  <c r="L78" i="15"/>
  <c r="M78" i="15"/>
  <c r="F13" i="27"/>
  <c r="F15" i="27" s="1"/>
  <c r="H13" i="27"/>
  <c r="H15" i="27" s="1"/>
  <c r="K78" i="15"/>
  <c r="M433" i="15" l="1"/>
  <c r="M437" i="15"/>
  <c r="M436" i="15" s="1"/>
  <c r="M197" i="15"/>
  <c r="L68" i="26"/>
  <c r="K745" i="15"/>
  <c r="K747" i="15" s="1"/>
  <c r="M600" i="15"/>
  <c r="M597" i="15" s="1"/>
  <c r="M612" i="15"/>
  <c r="J68" i="26"/>
  <c r="K197" i="15"/>
  <c r="G31" i="21" s="1"/>
  <c r="K433" i="15"/>
  <c r="K77" i="15"/>
  <c r="K356" i="15" s="1"/>
  <c r="K75" i="15"/>
  <c r="K76" i="15" s="1"/>
  <c r="D19" i="27"/>
  <c r="D20" i="27"/>
  <c r="D17" i="27"/>
  <c r="I19" i="27"/>
  <c r="I20" i="27"/>
  <c r="I17" i="27"/>
  <c r="G17" i="27"/>
  <c r="G20" i="27"/>
  <c r="G19" i="27"/>
  <c r="P68" i="26"/>
  <c r="M101" i="15"/>
  <c r="M198" i="15"/>
  <c r="M76" i="15"/>
  <c r="J19" i="27"/>
  <c r="J17" i="27"/>
  <c r="J20" i="27"/>
  <c r="G435" i="15"/>
  <c r="G38" i="15"/>
  <c r="K38" i="15"/>
  <c r="K435" i="15"/>
  <c r="L17" i="27"/>
  <c r="L19" i="27"/>
  <c r="L20" i="27"/>
  <c r="O197" i="15"/>
  <c r="O433" i="15"/>
  <c r="O75" i="15"/>
  <c r="N68" i="26"/>
  <c r="O77" i="15"/>
  <c r="O356" i="15" s="1"/>
  <c r="O437" i="15"/>
  <c r="O436" i="15" s="1"/>
  <c r="O745" i="15"/>
  <c r="O747" i="15" s="1"/>
  <c r="O612" i="15"/>
  <c r="O600" i="15"/>
  <c r="O597" i="15" s="1"/>
  <c r="G101" i="15"/>
  <c r="G198" i="15"/>
  <c r="G76" i="15"/>
  <c r="M38" i="15"/>
  <c r="M435" i="15"/>
  <c r="L75" i="15"/>
  <c r="L745" i="15"/>
  <c r="L747" i="15" s="1"/>
  <c r="L433" i="15"/>
  <c r="L437" i="15"/>
  <c r="L436" i="15" s="1"/>
  <c r="L38" i="15" s="1"/>
  <c r="K68" i="26"/>
  <c r="L612" i="15"/>
  <c r="L77" i="15"/>
  <c r="L356" i="15" s="1"/>
  <c r="L197" i="15"/>
  <c r="M211" i="15" s="1"/>
  <c r="L600" i="15"/>
  <c r="L597" i="15" s="1"/>
  <c r="I75" i="15"/>
  <c r="I77" i="15"/>
  <c r="I356" i="15" s="1"/>
  <c r="H68" i="26"/>
  <c r="I197" i="15"/>
  <c r="I433" i="15"/>
  <c r="I437" i="15"/>
  <c r="I436" i="15" s="1"/>
  <c r="I745" i="15"/>
  <c r="I747" i="15" s="1"/>
  <c r="I612" i="15"/>
  <c r="I600" i="15"/>
  <c r="I597" i="15" s="1"/>
  <c r="N437" i="15"/>
  <c r="N436" i="15" s="1"/>
  <c r="N197" i="15"/>
  <c r="N600" i="15"/>
  <c r="N597" i="15" s="1"/>
  <c r="N75" i="15"/>
  <c r="N745" i="15"/>
  <c r="N747" i="15" s="1"/>
  <c r="N77" i="15"/>
  <c r="N356" i="15" s="1"/>
  <c r="M68" i="26"/>
  <c r="N612" i="15"/>
  <c r="N433" i="15"/>
  <c r="J437" i="15"/>
  <c r="J436" i="15" s="1"/>
  <c r="J600" i="15"/>
  <c r="J597" i="15" s="1"/>
  <c r="J612" i="15"/>
  <c r="J433" i="15"/>
  <c r="I68" i="26"/>
  <c r="J75" i="15"/>
  <c r="J197" i="15"/>
  <c r="J77" i="15"/>
  <c r="J356" i="15" s="1"/>
  <c r="J745" i="15"/>
  <c r="J747" i="15" s="1"/>
  <c r="I31" i="21"/>
  <c r="M364" i="15"/>
  <c r="M607" i="15" s="1"/>
  <c r="K19" i="27"/>
  <c r="K20" i="27"/>
  <c r="K17" i="27"/>
  <c r="H17" i="27"/>
  <c r="H19" i="27"/>
  <c r="H20" i="27"/>
  <c r="F20" i="27"/>
  <c r="F17" i="27"/>
  <c r="F19" i="27"/>
  <c r="E17" i="27"/>
  <c r="E19" i="27"/>
  <c r="E20" i="27"/>
  <c r="K13" i="25"/>
  <c r="K14" i="25" s="1"/>
  <c r="K16" i="25" s="1"/>
  <c r="K18" i="25" s="1"/>
  <c r="H211" i="15"/>
  <c r="C31" i="21"/>
  <c r="G211" i="15"/>
  <c r="G364" i="15"/>
  <c r="G607" i="15" s="1"/>
  <c r="P600" i="15"/>
  <c r="P597" i="15" s="1"/>
  <c r="P437" i="15"/>
  <c r="P436" i="15" s="1"/>
  <c r="P612" i="15"/>
  <c r="O68" i="26"/>
  <c r="P75" i="15"/>
  <c r="P197" i="15"/>
  <c r="Q211" i="15" s="1"/>
  <c r="P745" i="15"/>
  <c r="P747" i="15" s="1"/>
  <c r="P77" i="15"/>
  <c r="P356" i="15" s="1"/>
  <c r="P433" i="15"/>
  <c r="O13" i="25" l="1"/>
  <c r="O14" i="25" s="1"/>
  <c r="O16" i="25" s="1"/>
  <c r="K364" i="15"/>
  <c r="K607" i="15" s="1"/>
  <c r="K101" i="15"/>
  <c r="K198" i="15"/>
  <c r="L198" i="15"/>
  <c r="L212" i="15" s="1"/>
  <c r="L101" i="15"/>
  <c r="L76" i="15"/>
  <c r="M199" i="15"/>
  <c r="M622" i="15"/>
  <c r="I38" i="21"/>
  <c r="I41" i="21"/>
  <c r="P13" i="25"/>
  <c r="P14" i="25" s="1"/>
  <c r="P16" i="25" s="1"/>
  <c r="L211" i="15"/>
  <c r="H31" i="21"/>
  <c r="L364" i="15"/>
  <c r="L607" i="15" s="1"/>
  <c r="O38" i="15"/>
  <c r="O435" i="15"/>
  <c r="G41" i="21"/>
  <c r="G38" i="21"/>
  <c r="K37" i="15"/>
  <c r="M212" i="15"/>
  <c r="I38" i="15"/>
  <c r="I435" i="15"/>
  <c r="M37" i="15"/>
  <c r="H132" i="15"/>
  <c r="H131" i="15" s="1"/>
  <c r="G132" i="15"/>
  <c r="G131" i="15" s="1"/>
  <c r="G37" i="15"/>
  <c r="M102" i="15"/>
  <c r="M98" i="15"/>
  <c r="M201" i="15"/>
  <c r="K102" i="15"/>
  <c r="K98" i="15"/>
  <c r="K201" i="15"/>
  <c r="N101" i="15"/>
  <c r="N76" i="15"/>
  <c r="N198" i="15"/>
  <c r="N212" i="15" s="1"/>
  <c r="G199" i="15"/>
  <c r="G622" i="15"/>
  <c r="C41" i="21"/>
  <c r="C38" i="21"/>
  <c r="N13" i="25"/>
  <c r="N14" i="25" s="1"/>
  <c r="N16" i="25" s="1"/>
  <c r="F31" i="21"/>
  <c r="J211" i="15"/>
  <c r="J364" i="15"/>
  <c r="J607" i="15" s="1"/>
  <c r="M13" i="25"/>
  <c r="M14" i="25" s="1"/>
  <c r="M16" i="25" s="1"/>
  <c r="I211" i="15"/>
  <c r="E31" i="21"/>
  <c r="I364" i="15"/>
  <c r="I607" i="15" s="1"/>
  <c r="H212" i="15"/>
  <c r="G212" i="15"/>
  <c r="O76" i="15"/>
  <c r="O198" i="15"/>
  <c r="O101" i="15"/>
  <c r="Q38" i="15"/>
  <c r="P38" i="15"/>
  <c r="P435" i="15"/>
  <c r="P211" i="15"/>
  <c r="P364" i="15"/>
  <c r="P607" i="15" s="1"/>
  <c r="L31" i="21"/>
  <c r="J198" i="15"/>
  <c r="K212" i="15" s="1"/>
  <c r="J76" i="15"/>
  <c r="J101" i="15"/>
  <c r="K199" i="15"/>
  <c r="K622" i="15"/>
  <c r="N364" i="15"/>
  <c r="N607" i="15" s="1"/>
  <c r="J31" i="21"/>
  <c r="N211" i="15"/>
  <c r="L435" i="15"/>
  <c r="G102" i="15"/>
  <c r="G98" i="15"/>
  <c r="G114" i="15"/>
  <c r="G201" i="15"/>
  <c r="N38" i="15"/>
  <c r="N435" i="15"/>
  <c r="O211" i="15"/>
  <c r="K31" i="21"/>
  <c r="O364" i="15"/>
  <c r="O607" i="15" s="1"/>
  <c r="J435" i="15"/>
  <c r="J38" i="15"/>
  <c r="K132" i="15" s="1"/>
  <c r="K131" i="15" s="1"/>
  <c r="P101" i="15"/>
  <c r="P76" i="15"/>
  <c r="P198" i="15"/>
  <c r="Q212" i="15" s="1"/>
  <c r="I198" i="15"/>
  <c r="I212" i="15" s="1"/>
  <c r="I76" i="15"/>
  <c r="I101" i="15"/>
  <c r="K211" i="15"/>
  <c r="M31" i="21"/>
  <c r="Q132" i="15" l="1"/>
  <c r="Q131" i="15" s="1"/>
  <c r="P212" i="15"/>
  <c r="M124" i="15"/>
  <c r="M856" i="15"/>
  <c r="M99" i="15"/>
  <c r="M580" i="15"/>
  <c r="M577" i="15" s="1"/>
  <c r="M35" i="15"/>
  <c r="M232" i="15"/>
  <c r="M575" i="15"/>
  <c r="M38" i="21"/>
  <c r="M41" i="21"/>
  <c r="J37" i="15"/>
  <c r="J132" i="15"/>
  <c r="J131" i="15" s="1"/>
  <c r="P37" i="15"/>
  <c r="P132" i="15"/>
  <c r="P131" i="15" s="1"/>
  <c r="N201" i="15"/>
  <c r="N215" i="15" s="1"/>
  <c r="N98" i="15"/>
  <c r="N102" i="15"/>
  <c r="I37" i="15"/>
  <c r="I132" i="15"/>
  <c r="I131" i="15" s="1"/>
  <c r="I98" i="15"/>
  <c r="I102" i="15"/>
  <c r="I201" i="15"/>
  <c r="I215" i="15" s="1"/>
  <c r="G202" i="15"/>
  <c r="G623" i="15"/>
  <c r="J201" i="15"/>
  <c r="J102" i="15"/>
  <c r="J98" i="15"/>
  <c r="E41" i="21"/>
  <c r="E38" i="21"/>
  <c r="G232" i="15"/>
  <c r="G35" i="15"/>
  <c r="G177" i="15"/>
  <c r="G175" i="15" s="1"/>
  <c r="G178" i="15" s="1"/>
  <c r="H431" i="15"/>
  <c r="G575" i="15"/>
  <c r="G580" i="15"/>
  <c r="G577" i="15" s="1"/>
  <c r="F38" i="21"/>
  <c r="F41" i="21"/>
  <c r="G124" i="15"/>
  <c r="G144" i="15" s="1"/>
  <c r="G99" i="15"/>
  <c r="G856" i="15"/>
  <c r="K38" i="21"/>
  <c r="K41" i="21"/>
  <c r="J622" i="15"/>
  <c r="J199" i="15"/>
  <c r="K213" i="15" s="1"/>
  <c r="Q37" i="15"/>
  <c r="K99" i="15"/>
  <c r="K124" i="15"/>
  <c r="K856" i="15"/>
  <c r="O37" i="15"/>
  <c r="O132" i="15"/>
  <c r="O131" i="15" s="1"/>
  <c r="L37" i="15"/>
  <c r="L132" i="15"/>
  <c r="L131" i="15" s="1"/>
  <c r="K202" i="15"/>
  <c r="K623" i="15"/>
  <c r="L622" i="15"/>
  <c r="L199" i="15"/>
  <c r="L213" i="15" s="1"/>
  <c r="P102" i="15"/>
  <c r="P98" i="15"/>
  <c r="P201" i="15"/>
  <c r="Q215" i="15" s="1"/>
  <c r="G205" i="15"/>
  <c r="G119" i="15"/>
  <c r="G115" i="15"/>
  <c r="G624" i="15" s="1"/>
  <c r="N622" i="15"/>
  <c r="N199" i="15"/>
  <c r="N213" i="15" s="1"/>
  <c r="I199" i="15"/>
  <c r="I622" i="15"/>
  <c r="O201" i="15"/>
  <c r="O98" i="15"/>
  <c r="O102" i="15"/>
  <c r="L38" i="21"/>
  <c r="L41" i="21"/>
  <c r="O212" i="15"/>
  <c r="H41" i="21"/>
  <c r="H38" i="21"/>
  <c r="L102" i="15"/>
  <c r="L98" i="15"/>
  <c r="L201" i="15"/>
  <c r="L215" i="15" s="1"/>
  <c r="G215" i="15"/>
  <c r="H215" i="15"/>
  <c r="M202" i="15"/>
  <c r="M623" i="15"/>
  <c r="R47" i="25"/>
  <c r="J212" i="15"/>
  <c r="P199" i="15"/>
  <c r="Q213" i="15" s="1"/>
  <c r="P622" i="15"/>
  <c r="N37" i="15"/>
  <c r="N132" i="15"/>
  <c r="N131" i="15" s="1"/>
  <c r="J41" i="21"/>
  <c r="J38" i="21"/>
  <c r="O622" i="15"/>
  <c r="O199" i="15"/>
  <c r="G213" i="15"/>
  <c r="N47" i="25"/>
  <c r="H213" i="15"/>
  <c r="M132" i="15"/>
  <c r="M131" i="15" s="1"/>
  <c r="K580" i="15"/>
  <c r="K577" i="15" s="1"/>
  <c r="K575" i="15"/>
  <c r="K232" i="15"/>
  <c r="K35" i="15"/>
  <c r="M215" i="15" l="1"/>
  <c r="J215" i="15"/>
  <c r="Q575" i="15"/>
  <c r="Q232" i="15"/>
  <c r="Q580" i="15"/>
  <c r="Q577" i="15" s="1"/>
  <c r="M213" i="15"/>
  <c r="O213" i="15"/>
  <c r="O215" i="15"/>
  <c r="O623" i="15"/>
  <c r="O202" i="15"/>
  <c r="I202" i="15"/>
  <c r="I216" i="15" s="1"/>
  <c r="I623" i="15"/>
  <c r="L623" i="15"/>
  <c r="L202" i="15"/>
  <c r="L216" i="15" s="1"/>
  <c r="J124" i="15"/>
  <c r="J856" i="15"/>
  <c r="J99" i="15"/>
  <c r="I124" i="15"/>
  <c r="I856" i="15"/>
  <c r="I99" i="15"/>
  <c r="G156" i="15"/>
  <c r="G873" i="15"/>
  <c r="J202" i="15"/>
  <c r="K216" i="15" s="1"/>
  <c r="J623" i="15"/>
  <c r="O124" i="15"/>
  <c r="O856" i="15"/>
  <c r="O99" i="15"/>
  <c r="P215" i="15"/>
  <c r="Q35" i="15"/>
  <c r="G569" i="15"/>
  <c r="G231" i="15"/>
  <c r="P580" i="15"/>
  <c r="P577" i="15" s="1"/>
  <c r="P575" i="15"/>
  <c r="P35" i="15"/>
  <c r="P232" i="15"/>
  <c r="M231" i="15"/>
  <c r="M569" i="15"/>
  <c r="G57" i="15"/>
  <c r="G207" i="15"/>
  <c r="G221" i="15" s="1"/>
  <c r="C51" i="21"/>
  <c r="G584" i="15"/>
  <c r="G120" i="15"/>
  <c r="G625" i="15" s="1"/>
  <c r="P99" i="15"/>
  <c r="P124" i="15"/>
  <c r="P856" i="15"/>
  <c r="J213" i="15"/>
  <c r="Q47" i="25"/>
  <c r="G254" i="15"/>
  <c r="H254" i="15"/>
  <c r="G219" i="15"/>
  <c r="H219" i="15"/>
  <c r="N232" i="15"/>
  <c r="N254" i="15" s="1"/>
  <c r="N35" i="15"/>
  <c r="N575" i="15"/>
  <c r="N580" i="15"/>
  <c r="N577" i="15" s="1"/>
  <c r="P47" i="25"/>
  <c r="I213" i="15"/>
  <c r="P202" i="15"/>
  <c r="P623" i="15"/>
  <c r="O35" i="15"/>
  <c r="O232" i="15"/>
  <c r="O575" i="15"/>
  <c r="O580" i="15"/>
  <c r="O577" i="15" s="1"/>
  <c r="K215" i="15"/>
  <c r="I232" i="15"/>
  <c r="I254" i="15" s="1"/>
  <c r="I35" i="15"/>
  <c r="I575" i="15"/>
  <c r="I580" i="15"/>
  <c r="I577" i="15" s="1"/>
  <c r="J232" i="15"/>
  <c r="J35" i="15"/>
  <c r="J580" i="15"/>
  <c r="J577" i="15" s="1"/>
  <c r="J575" i="15"/>
  <c r="L124" i="15"/>
  <c r="L99" i="15"/>
  <c r="L856" i="15"/>
  <c r="L580" i="15"/>
  <c r="L577" i="15" s="1"/>
  <c r="L232" i="15"/>
  <c r="L254" i="15" s="1"/>
  <c r="L35" i="15"/>
  <c r="L575" i="15"/>
  <c r="G216" i="15"/>
  <c r="H216" i="15"/>
  <c r="N202" i="15"/>
  <c r="N216" i="15" s="1"/>
  <c r="N623" i="15"/>
  <c r="K569" i="15"/>
  <c r="K231" i="15"/>
  <c r="P213" i="15"/>
  <c r="N124" i="15"/>
  <c r="N99" i="15"/>
  <c r="N856" i="15"/>
  <c r="Q254" i="15" l="1"/>
  <c r="J254" i="15"/>
  <c r="Q569" i="15"/>
  <c r="Q231" i="15"/>
  <c r="P216" i="15"/>
  <c r="Q216" i="15"/>
  <c r="O254" i="15"/>
  <c r="N569" i="15"/>
  <c r="N231" i="15"/>
  <c r="N253" i="15" s="1"/>
  <c r="K254" i="15"/>
  <c r="I569" i="15"/>
  <c r="I231" i="15"/>
  <c r="P569" i="15"/>
  <c r="P231" i="15"/>
  <c r="M254" i="15"/>
  <c r="G594" i="15"/>
  <c r="G582" i="15"/>
  <c r="J216" i="15"/>
  <c r="O27" i="25"/>
  <c r="G253" i="15"/>
  <c r="H253" i="15"/>
  <c r="K27" i="25"/>
  <c r="O216" i="15"/>
  <c r="O569" i="15"/>
  <c r="O231" i="15"/>
  <c r="P254" i="15"/>
  <c r="M216" i="15"/>
  <c r="L569" i="15"/>
  <c r="L231" i="15"/>
  <c r="J569" i="15"/>
  <c r="J231" i="15"/>
  <c r="H56" i="15"/>
  <c r="G242" i="15"/>
  <c r="F17" i="26"/>
  <c r="G50" i="15"/>
  <c r="G164" i="15"/>
  <c r="G160" i="15"/>
  <c r="G13" i="15" s="1"/>
  <c r="O253" i="15" l="1"/>
  <c r="Q253" i="15"/>
  <c r="N27" i="25"/>
  <c r="J253" i="15"/>
  <c r="G12" i="15"/>
  <c r="H158" i="15"/>
  <c r="C55" i="21"/>
  <c r="P27" i="25"/>
  <c r="L253" i="15"/>
  <c r="G16" i="26"/>
  <c r="H241" i="15"/>
  <c r="H117" i="15"/>
  <c r="G166" i="15"/>
  <c r="B26" i="4"/>
  <c r="P253" i="15"/>
  <c r="M253" i="15"/>
  <c r="G602" i="15"/>
  <c r="G604" i="15" s="1"/>
  <c r="G235" i="15"/>
  <c r="C59" i="21"/>
  <c r="F39" i="26"/>
  <c r="F46" i="26" s="1"/>
  <c r="F75" i="26" s="1"/>
  <c r="F18" i="26"/>
  <c r="K30" i="25"/>
  <c r="G260" i="15"/>
  <c r="K253" i="15"/>
  <c r="I253" i="15"/>
  <c r="M27" i="25"/>
  <c r="F76" i="26" l="1"/>
  <c r="F80" i="26" s="1"/>
  <c r="H119" i="15"/>
  <c r="H206" i="15"/>
  <c r="H616" i="15"/>
  <c r="H142" i="15"/>
  <c r="H144" i="15" s="1"/>
  <c r="H259" i="15"/>
  <c r="K28" i="25"/>
  <c r="G257" i="15"/>
  <c r="F24" i="26"/>
  <c r="F20" i="26"/>
  <c r="G365" i="15"/>
  <c r="G606" i="15"/>
  <c r="G608" i="15" s="1"/>
  <c r="G609" i="15" s="1"/>
  <c r="H347" i="15" s="1"/>
  <c r="G227" i="15"/>
  <c r="G574" i="15"/>
  <c r="G572" i="15" s="1"/>
  <c r="G10" i="15"/>
  <c r="H16" i="26"/>
  <c r="G38" i="26"/>
  <c r="B27" i="4"/>
  <c r="K24" i="25" l="1"/>
  <c r="G249" i="15"/>
  <c r="I348" i="15"/>
  <c r="I341" i="15" s="1"/>
  <c r="I105" i="15" s="1"/>
  <c r="I104" i="15" s="1"/>
  <c r="H38" i="26"/>
  <c r="I16" i="26"/>
  <c r="H207" i="15"/>
  <c r="H221" i="15" s="1"/>
  <c r="H57" i="15"/>
  <c r="H584" i="15"/>
  <c r="H120" i="15"/>
  <c r="H625" i="15" s="1"/>
  <c r="D51" i="21"/>
  <c r="H156" i="15"/>
  <c r="H873" i="15"/>
  <c r="G226" i="15"/>
  <c r="G1" i="15"/>
  <c r="G590" i="15"/>
  <c r="G570" i="15"/>
  <c r="G567" i="15" s="1"/>
  <c r="I614" i="15" l="1"/>
  <c r="D25" i="27"/>
  <c r="D27" i="27" s="1"/>
  <c r="D28" i="27" s="1"/>
  <c r="I203" i="15"/>
  <c r="I148" i="15"/>
  <c r="I114" i="15"/>
  <c r="J16" i="26"/>
  <c r="I38" i="26"/>
  <c r="H160" i="15"/>
  <c r="H13" i="15" s="1"/>
  <c r="H164" i="15"/>
  <c r="G245" i="15"/>
  <c r="K23" i="25"/>
  <c r="G248" i="15"/>
  <c r="H582" i="15"/>
  <c r="H594" i="15"/>
  <c r="G595" i="15"/>
  <c r="G592" i="15" s="1"/>
  <c r="G587" i="15"/>
  <c r="G13" i="26"/>
  <c r="H242" i="15"/>
  <c r="I56" i="15"/>
  <c r="H50" i="15"/>
  <c r="J38" i="26" l="1"/>
  <c r="K16" i="26"/>
  <c r="I205" i="15"/>
  <c r="I219" i="15" s="1"/>
  <c r="I115" i="15"/>
  <c r="I624" i="15" s="1"/>
  <c r="M17" i="25"/>
  <c r="M18" i="25" s="1"/>
  <c r="I217" i="15"/>
  <c r="D55" i="21"/>
  <c r="I158" i="15"/>
  <c r="H12" i="15"/>
  <c r="H602" i="15"/>
  <c r="H604" i="15" s="1"/>
  <c r="H235" i="15"/>
  <c r="D59" i="21"/>
  <c r="I117" i="15"/>
  <c r="I241" i="15"/>
  <c r="H260" i="15"/>
  <c r="L30" i="25"/>
  <c r="G18" i="26"/>
  <c r="G33" i="26"/>
  <c r="G46" i="26" s="1"/>
  <c r="G75" i="26" s="1"/>
  <c r="H166" i="15"/>
  <c r="C26" i="4"/>
  <c r="G76" i="26" l="1"/>
  <c r="G80" i="26" s="1"/>
  <c r="I206" i="15"/>
  <c r="I616" i="15"/>
  <c r="I142" i="15"/>
  <c r="I144" i="15" s="1"/>
  <c r="G20" i="26"/>
  <c r="G24" i="26"/>
  <c r="H257" i="15"/>
  <c r="L28" i="25"/>
  <c r="C27" i="4"/>
  <c r="I119" i="15"/>
  <c r="I259" i="15"/>
  <c r="L16" i="26"/>
  <c r="K38" i="26"/>
  <c r="H10" i="15"/>
  <c r="H227" i="15"/>
  <c r="H574" i="15"/>
  <c r="H572" i="15" s="1"/>
  <c r="H365" i="15"/>
  <c r="H606" i="15"/>
  <c r="H608" i="15" s="1"/>
  <c r="H609" i="15" s="1"/>
  <c r="I347" i="15" s="1"/>
  <c r="E51" i="21" l="1"/>
  <c r="I584" i="15"/>
  <c r="I57" i="15"/>
  <c r="I207" i="15"/>
  <c r="I221" i="15" s="1"/>
  <c r="I120" i="15"/>
  <c r="I625" i="15" s="1"/>
  <c r="I873" i="15"/>
  <c r="I156" i="15"/>
  <c r="M16" i="26"/>
  <c r="L38" i="26"/>
  <c r="H249" i="15"/>
  <c r="L24" i="25"/>
  <c r="J348" i="15"/>
  <c r="J341" i="15" s="1"/>
  <c r="J105" i="15" s="1"/>
  <c r="J104" i="15" s="1"/>
  <c r="H1" i="15"/>
  <c r="H570" i="15"/>
  <c r="H567" i="15" s="1"/>
  <c r="H590" i="15"/>
  <c r="H226" i="15"/>
  <c r="J614" i="15" l="1"/>
  <c r="E25" i="27"/>
  <c r="E27" i="27" s="1"/>
  <c r="E28" i="27" s="1"/>
  <c r="J148" i="15"/>
  <c r="J203" i="15"/>
  <c r="J114" i="15"/>
  <c r="I164" i="15"/>
  <c r="I160" i="15"/>
  <c r="I13" i="15" s="1"/>
  <c r="I594" i="15"/>
  <c r="I582" i="15"/>
  <c r="I242" i="15"/>
  <c r="H13" i="26"/>
  <c r="J56" i="15"/>
  <c r="I50" i="15"/>
  <c r="L23" i="25"/>
  <c r="H248" i="15"/>
  <c r="H245" i="15"/>
  <c r="H587" i="15"/>
  <c r="H595" i="15"/>
  <c r="H592" i="15" s="1"/>
  <c r="N16" i="26"/>
  <c r="M38" i="26"/>
  <c r="I166" i="15" l="1"/>
  <c r="D26" i="4"/>
  <c r="N38" i="26"/>
  <c r="O16" i="26"/>
  <c r="J158" i="15"/>
  <c r="I12" i="15"/>
  <c r="E55" i="21"/>
  <c r="J205" i="15"/>
  <c r="J219" i="15" s="1"/>
  <c r="J115" i="15"/>
  <c r="J624" i="15" s="1"/>
  <c r="E59" i="21"/>
  <c r="I235" i="15"/>
  <c r="I602" i="15"/>
  <c r="I604" i="15" s="1"/>
  <c r="J117" i="15"/>
  <c r="J241" i="15"/>
  <c r="J217" i="15"/>
  <c r="N17" i="25"/>
  <c r="N18" i="25" s="1"/>
  <c r="H18" i="26"/>
  <c r="H33" i="26"/>
  <c r="H46" i="26" s="1"/>
  <c r="H75" i="26" s="1"/>
  <c r="I260" i="15"/>
  <c r="M30" i="25"/>
  <c r="H76" i="26" l="1"/>
  <c r="H80" i="26" s="1"/>
  <c r="I257" i="15"/>
  <c r="M28" i="25"/>
  <c r="I606" i="15"/>
  <c r="I608" i="15" s="1"/>
  <c r="I609" i="15" s="1"/>
  <c r="J347" i="15" s="1"/>
  <c r="I574" i="15"/>
  <c r="I572" i="15" s="1"/>
  <c r="I365" i="15"/>
  <c r="I10" i="15"/>
  <c r="I227" i="15"/>
  <c r="O38" i="26"/>
  <c r="P16" i="26"/>
  <c r="P38" i="26" s="1"/>
  <c r="J616" i="15"/>
  <c r="J206" i="15"/>
  <c r="J220" i="15" s="1"/>
  <c r="J142" i="15"/>
  <c r="J144" i="15" s="1"/>
  <c r="H20" i="26"/>
  <c r="H24" i="26"/>
  <c r="J259" i="15"/>
  <c r="J119" i="15"/>
  <c r="D27" i="4"/>
  <c r="I226" i="15" l="1"/>
  <c r="I590" i="15"/>
  <c r="I570" i="15"/>
  <c r="I567" i="15" s="1"/>
  <c r="I1" i="15"/>
  <c r="K348" i="15"/>
  <c r="K341" i="15" s="1"/>
  <c r="K105" i="15" s="1"/>
  <c r="K104" i="15" s="1"/>
  <c r="I249" i="15"/>
  <c r="M24" i="25"/>
  <c r="J156" i="15"/>
  <c r="J873" i="15"/>
  <c r="J57" i="15"/>
  <c r="F51" i="21"/>
  <c r="J584" i="15"/>
  <c r="J120" i="15"/>
  <c r="J625" i="15" s="1"/>
  <c r="J207" i="15"/>
  <c r="J221" i="15" s="1"/>
  <c r="J594" i="15" l="1"/>
  <c r="J582" i="15"/>
  <c r="K203" i="15"/>
  <c r="F25" i="27"/>
  <c r="F27" i="27" s="1"/>
  <c r="F28" i="27" s="1"/>
  <c r="K614" i="15"/>
  <c r="K148" i="15"/>
  <c r="K114" i="15"/>
  <c r="I13" i="26"/>
  <c r="J242" i="15"/>
  <c r="J50" i="15"/>
  <c r="K56" i="15"/>
  <c r="I595" i="15"/>
  <c r="I592" i="15" s="1"/>
  <c r="I587" i="15"/>
  <c r="J164" i="15"/>
  <c r="J160" i="15"/>
  <c r="J13" i="15" s="1"/>
  <c r="I245" i="15"/>
  <c r="M23" i="25"/>
  <c r="I248" i="15"/>
  <c r="F55" i="21" l="1"/>
  <c r="J12" i="15"/>
  <c r="K158" i="15"/>
  <c r="O17" i="25"/>
  <c r="O18" i="25" s="1"/>
  <c r="K217" i="15"/>
  <c r="I33" i="26"/>
  <c r="I46" i="26" s="1"/>
  <c r="I75" i="26" s="1"/>
  <c r="I76" i="26" s="1"/>
  <c r="I80" i="26" s="1"/>
  <c r="I18" i="26"/>
  <c r="K115" i="15"/>
  <c r="K624" i="15" s="1"/>
  <c r="K205" i="15"/>
  <c r="K219" i="15" s="1"/>
  <c r="K241" i="15"/>
  <c r="K117" i="15"/>
  <c r="J235" i="15"/>
  <c r="F59" i="21"/>
  <c r="J602" i="15"/>
  <c r="J604" i="15" s="1"/>
  <c r="J166" i="15"/>
  <c r="E26" i="4"/>
  <c r="J260" i="15"/>
  <c r="N30" i="25"/>
  <c r="N28" i="25" l="1"/>
  <c r="J257" i="15"/>
  <c r="I20" i="26"/>
  <c r="I24" i="26"/>
  <c r="K142" i="15"/>
  <c r="K144" i="15" s="1"/>
  <c r="K616" i="15"/>
  <c r="K206" i="15"/>
  <c r="K220" i="15" s="1"/>
  <c r="K259" i="15"/>
  <c r="E27" i="4"/>
  <c r="J606" i="15"/>
  <c r="J608" i="15" s="1"/>
  <c r="J609" i="15" s="1"/>
  <c r="K347" i="15" s="1"/>
  <c r="J10" i="15"/>
  <c r="J365" i="15"/>
  <c r="J227" i="15"/>
  <c r="J574" i="15"/>
  <c r="J572" i="15" s="1"/>
  <c r="K119" i="15"/>
  <c r="L348" i="15" l="1"/>
  <c r="L341" i="15" s="1"/>
  <c r="L105" i="15" s="1"/>
  <c r="L104" i="15" s="1"/>
  <c r="J226" i="15"/>
  <c r="J570" i="15"/>
  <c r="J567" i="15" s="1"/>
  <c r="J590" i="15"/>
  <c r="J1" i="15"/>
  <c r="K57" i="15"/>
  <c r="K584" i="15"/>
  <c r="K207" i="15"/>
  <c r="K221" i="15" s="1"/>
  <c r="K120" i="15"/>
  <c r="K625" i="15" s="1"/>
  <c r="G51" i="21"/>
  <c r="J249" i="15"/>
  <c r="N24" i="25"/>
  <c r="K873" i="15"/>
  <c r="K156" i="15"/>
  <c r="J51" i="26" l="1"/>
  <c r="J55" i="26" s="1"/>
  <c r="K242" i="15"/>
  <c r="J13" i="26"/>
  <c r="K50" i="15"/>
  <c r="L56" i="15"/>
  <c r="J587" i="15"/>
  <c r="J595" i="15"/>
  <c r="J592" i="15" s="1"/>
  <c r="K594" i="15"/>
  <c r="K582" i="15"/>
  <c r="N23" i="25"/>
  <c r="J248" i="15"/>
  <c r="J245" i="15"/>
  <c r="K160" i="15"/>
  <c r="K13" i="15" s="1"/>
  <c r="K164" i="15"/>
  <c r="L614" i="15"/>
  <c r="L148" i="15"/>
  <c r="L203" i="15"/>
  <c r="G25" i="27"/>
  <c r="G27" i="27" s="1"/>
  <c r="G28" i="27" s="1"/>
  <c r="L114" i="15"/>
  <c r="K166" i="15" l="1"/>
  <c r="F26" i="4"/>
  <c r="L241" i="15"/>
  <c r="L117" i="15"/>
  <c r="J18" i="26"/>
  <c r="J33" i="26"/>
  <c r="J46" i="26" s="1"/>
  <c r="J75" i="26" s="1"/>
  <c r="J76" i="26" s="1"/>
  <c r="J80" i="26" s="1"/>
  <c r="L158" i="15"/>
  <c r="G55" i="21"/>
  <c r="K12" i="15"/>
  <c r="K235" i="15"/>
  <c r="K602" i="15"/>
  <c r="K604" i="15" s="1"/>
  <c r="G59" i="21"/>
  <c r="K260" i="15"/>
  <c r="O30" i="25"/>
  <c r="L205" i="15"/>
  <c r="L219" i="15" s="1"/>
  <c r="L115" i="15"/>
  <c r="L624" i="15" s="1"/>
  <c r="L217" i="15"/>
  <c r="P17" i="25"/>
  <c r="P18" i="25" s="1"/>
  <c r="J24" i="26" l="1"/>
  <c r="J20" i="26"/>
  <c r="L616" i="15"/>
  <c r="L142" i="15"/>
  <c r="L144" i="15" s="1"/>
  <c r="L206" i="15"/>
  <c r="L220" i="15" s="1"/>
  <c r="L259" i="15"/>
  <c r="K257" i="15"/>
  <c r="O28" i="25"/>
  <c r="L119" i="15"/>
  <c r="F27" i="4"/>
  <c r="K606" i="15"/>
  <c r="K608" i="15" s="1"/>
  <c r="K609" i="15" s="1"/>
  <c r="L347" i="15" s="1"/>
  <c r="K10" i="15"/>
  <c r="K365" i="15"/>
  <c r="K574" i="15"/>
  <c r="K572" i="15" s="1"/>
  <c r="K227" i="15"/>
  <c r="L156" i="15" l="1"/>
  <c r="L873" i="15"/>
  <c r="M348" i="15"/>
  <c r="M341" i="15" s="1"/>
  <c r="M105" i="15" s="1"/>
  <c r="M104" i="15" s="1"/>
  <c r="K249" i="15"/>
  <c r="O24" i="25"/>
  <c r="L207" i="15"/>
  <c r="L221" i="15" s="1"/>
  <c r="L584" i="15"/>
  <c r="L57" i="15"/>
  <c r="L120" i="15"/>
  <c r="L625" i="15" s="1"/>
  <c r="H51" i="21"/>
  <c r="K590" i="15"/>
  <c r="K1" i="15"/>
  <c r="K226" i="15"/>
  <c r="K570" i="15"/>
  <c r="K567" i="15" s="1"/>
  <c r="M148" i="15" l="1"/>
  <c r="M203" i="15"/>
  <c r="M217" i="15" s="1"/>
  <c r="H25" i="27"/>
  <c r="H27" i="27" s="1"/>
  <c r="H28" i="27" s="1"/>
  <c r="M614" i="15"/>
  <c r="M114" i="15"/>
  <c r="L594" i="15"/>
  <c r="L582" i="15"/>
  <c r="O23" i="25"/>
  <c r="K245" i="15"/>
  <c r="K248" i="15"/>
  <c r="K595" i="15"/>
  <c r="K592" i="15" s="1"/>
  <c r="K587" i="15"/>
  <c r="L242" i="15"/>
  <c r="K13" i="26"/>
  <c r="K51" i="26"/>
  <c r="K55" i="26" s="1"/>
  <c r="M56" i="15"/>
  <c r="L50" i="15"/>
  <c r="L164" i="15"/>
  <c r="L160" i="15"/>
  <c r="L13" i="15" s="1"/>
  <c r="M115" i="15" l="1"/>
  <c r="M624" i="15" s="1"/>
  <c r="M205" i="15"/>
  <c r="M219" i="15" s="1"/>
  <c r="M158" i="15"/>
  <c r="H55" i="21"/>
  <c r="L12" i="15"/>
  <c r="M117" i="15"/>
  <c r="M241" i="15"/>
  <c r="M259" i="15" s="1"/>
  <c r="K33" i="26"/>
  <c r="K46" i="26" s="1"/>
  <c r="K75" i="26" s="1"/>
  <c r="K76" i="26" s="1"/>
  <c r="K80" i="26" s="1"/>
  <c r="K18" i="26"/>
  <c r="L260" i="15"/>
  <c r="P30" i="25"/>
  <c r="L166" i="15"/>
  <c r="G27" i="4" s="1"/>
  <c r="G26" i="4"/>
  <c r="L235" i="15"/>
  <c r="L602" i="15"/>
  <c r="L604" i="15" s="1"/>
  <c r="H59" i="21"/>
  <c r="K20" i="26" l="1"/>
  <c r="K24" i="26"/>
  <c r="M206" i="15"/>
  <c r="M220" i="15" s="1"/>
  <c r="M616" i="15"/>
  <c r="M142" i="15"/>
  <c r="M144" i="15" s="1"/>
  <c r="L227" i="15"/>
  <c r="L574" i="15"/>
  <c r="L572" i="15" s="1"/>
  <c r="L606" i="15"/>
  <c r="L608" i="15" s="1"/>
  <c r="L609" i="15" s="1"/>
  <c r="M347" i="15" s="1"/>
  <c r="L365" i="15"/>
  <c r="L10" i="15"/>
  <c r="P28" i="25"/>
  <c r="L257" i="15"/>
  <c r="M119" i="15"/>
  <c r="N348" i="15" l="1"/>
  <c r="N341" i="15" s="1"/>
  <c r="N105" i="15" s="1"/>
  <c r="N104" i="15" s="1"/>
  <c r="P24" i="25"/>
  <c r="L249" i="15"/>
  <c r="M57" i="15"/>
  <c r="M584" i="15"/>
  <c r="M207" i="15"/>
  <c r="M221" i="15" s="1"/>
  <c r="I51" i="21"/>
  <c r="M120" i="15"/>
  <c r="M625" i="15" s="1"/>
  <c r="L590" i="15"/>
  <c r="L1" i="15"/>
  <c r="L226" i="15"/>
  <c r="L570" i="15"/>
  <c r="L567" i="15" s="1"/>
  <c r="M156" i="15"/>
  <c r="M873" i="15"/>
  <c r="M160" i="15" l="1"/>
  <c r="M13" i="15" s="1"/>
  <c r="M164" i="15"/>
  <c r="P23" i="25"/>
  <c r="L248" i="15"/>
  <c r="L245" i="15"/>
  <c r="M582" i="15"/>
  <c r="M594" i="15"/>
  <c r="I25" i="27"/>
  <c r="I27" i="27" s="1"/>
  <c r="I28" i="27" s="1"/>
  <c r="N203" i="15"/>
  <c r="N217" i="15" s="1"/>
  <c r="N614" i="15"/>
  <c r="N148" i="15"/>
  <c r="N114" i="15"/>
  <c r="L13" i="26"/>
  <c r="L51" i="26"/>
  <c r="L55" i="26" s="1"/>
  <c r="M242" i="15"/>
  <c r="M260" i="15" s="1"/>
  <c r="N56" i="15"/>
  <c r="M50" i="15"/>
  <c r="L587" i="15"/>
  <c r="L595" i="15"/>
  <c r="L592" i="15" s="1"/>
  <c r="N241" i="15" l="1"/>
  <c r="N259" i="15" s="1"/>
  <c r="N117" i="15"/>
  <c r="M166" i="15"/>
  <c r="H27" i="4" s="1"/>
  <c r="H26" i="4"/>
  <c r="L33" i="26"/>
  <c r="L46" i="26" s="1"/>
  <c r="L75" i="26" s="1"/>
  <c r="L76" i="26" s="1"/>
  <c r="L80" i="26" s="1"/>
  <c r="L18" i="26"/>
  <c r="N205" i="15"/>
  <c r="N219" i="15" s="1"/>
  <c r="N115" i="15"/>
  <c r="N624" i="15" s="1"/>
  <c r="M235" i="15"/>
  <c r="M257" i="15" s="1"/>
  <c r="M602" i="15"/>
  <c r="M604" i="15" s="1"/>
  <c r="I59" i="21"/>
  <c r="N158" i="15"/>
  <c r="M12" i="15"/>
  <c r="I55" i="21"/>
  <c r="N616" i="15" l="1"/>
  <c r="N142" i="15"/>
  <c r="N144" i="15" s="1"/>
  <c r="N206" i="15"/>
  <c r="N220" i="15" s="1"/>
  <c r="N119" i="15"/>
  <c r="M365" i="15"/>
  <c r="M10" i="15"/>
  <c r="M606" i="15"/>
  <c r="M608" i="15" s="1"/>
  <c r="M609" i="15" s="1"/>
  <c r="N347" i="15" s="1"/>
  <c r="M574" i="15"/>
  <c r="M572" i="15" s="1"/>
  <c r="M227" i="15"/>
  <c r="M249" i="15" s="1"/>
  <c r="L20" i="26"/>
  <c r="L24" i="26"/>
  <c r="O348" i="15" l="1"/>
  <c r="O341" i="15" s="1"/>
  <c r="O105" i="15" s="1"/>
  <c r="O104" i="15" s="1"/>
  <c r="N873" i="15"/>
  <c r="N156" i="15"/>
  <c r="M570" i="15"/>
  <c r="M567" i="15" s="1"/>
  <c r="M226" i="15"/>
  <c r="M1" i="15"/>
  <c r="M590" i="15"/>
  <c r="N207" i="15"/>
  <c r="N221" i="15" s="1"/>
  <c r="J51" i="21"/>
  <c r="N57" i="15"/>
  <c r="N584" i="15"/>
  <c r="N120" i="15"/>
  <c r="N625" i="15" s="1"/>
  <c r="N594" i="15" l="1"/>
  <c r="N582" i="15"/>
  <c r="M587" i="15"/>
  <c r="M595" i="15"/>
  <c r="M592" i="15" s="1"/>
  <c r="O203" i="15"/>
  <c r="O217" i="15" s="1"/>
  <c r="J25" i="27"/>
  <c r="J27" i="27" s="1"/>
  <c r="J28" i="27" s="1"/>
  <c r="O148" i="15"/>
  <c r="O614" i="15"/>
  <c r="O114" i="15"/>
  <c r="M245" i="15"/>
  <c r="M248" i="15"/>
  <c r="N160" i="15"/>
  <c r="N13" i="15" s="1"/>
  <c r="N164" i="15"/>
  <c r="N242" i="15"/>
  <c r="N260" i="15" s="1"/>
  <c r="M13" i="26"/>
  <c r="M51" i="26"/>
  <c r="M55" i="26" s="1"/>
  <c r="O56" i="15"/>
  <c r="N50" i="15"/>
  <c r="M33" i="26" l="1"/>
  <c r="M46" i="26" s="1"/>
  <c r="M75" i="26" s="1"/>
  <c r="M76" i="26" s="1"/>
  <c r="M80" i="26" s="1"/>
  <c r="M18" i="26"/>
  <c r="O158" i="15"/>
  <c r="J55" i="21"/>
  <c r="N12" i="15"/>
  <c r="N602" i="15"/>
  <c r="N604" i="15" s="1"/>
  <c r="J59" i="21"/>
  <c r="N235" i="15"/>
  <c r="N257" i="15" s="1"/>
  <c r="N166" i="15"/>
  <c r="I27" i="4" s="1"/>
  <c r="I26" i="4"/>
  <c r="O241" i="15"/>
  <c r="O259" i="15" s="1"/>
  <c r="O117" i="15"/>
  <c r="O119" i="15" s="1"/>
  <c r="O115" i="15"/>
  <c r="O624" i="15" s="1"/>
  <c r="O205" i="15"/>
  <c r="O219" i="15" s="1"/>
  <c r="O57" i="15" l="1"/>
  <c r="O207" i="15"/>
  <c r="O221" i="15" s="1"/>
  <c r="O584" i="15"/>
  <c r="O120" i="15"/>
  <c r="O625" i="15" s="1"/>
  <c r="K51" i="21"/>
  <c r="O142" i="15"/>
  <c r="O144" i="15" s="1"/>
  <c r="O616" i="15"/>
  <c r="O206" i="15"/>
  <c r="O220" i="15" s="1"/>
  <c r="N606" i="15"/>
  <c r="N608" i="15" s="1"/>
  <c r="N609" i="15" s="1"/>
  <c r="O347" i="15" s="1"/>
  <c r="N574" i="15"/>
  <c r="N572" i="15" s="1"/>
  <c r="N10" i="15"/>
  <c r="N227" i="15"/>
  <c r="N249" i="15" s="1"/>
  <c r="N365" i="15"/>
  <c r="M24" i="26"/>
  <c r="M20" i="26"/>
  <c r="O873" i="15" l="1"/>
  <c r="O156" i="15"/>
  <c r="O594" i="15"/>
  <c r="O582" i="15"/>
  <c r="N226" i="15"/>
  <c r="N570" i="15"/>
  <c r="N567" i="15" s="1"/>
  <c r="N1" i="15"/>
  <c r="N590" i="15"/>
  <c r="P348" i="15"/>
  <c r="P341" i="15" s="1"/>
  <c r="P105" i="15" s="1"/>
  <c r="P104" i="15" s="1"/>
  <c r="N51" i="26"/>
  <c r="N55" i="26" s="1"/>
  <c r="N13" i="26"/>
  <c r="O242" i="15"/>
  <c r="O260" i="15" s="1"/>
  <c r="O50" i="15"/>
  <c r="P56" i="15"/>
  <c r="N245" i="15" l="1"/>
  <c r="N248" i="15"/>
  <c r="N595" i="15"/>
  <c r="N592" i="15" s="1"/>
  <c r="N587" i="15"/>
  <c r="N18" i="26"/>
  <c r="N33" i="26"/>
  <c r="N46" i="26" s="1"/>
  <c r="N75" i="26" s="1"/>
  <c r="N76" i="26" s="1"/>
  <c r="N80" i="26" s="1"/>
  <c r="O235" i="15"/>
  <c r="O257" i="15" s="1"/>
  <c r="K59" i="21"/>
  <c r="O602" i="15"/>
  <c r="O604" i="15" s="1"/>
  <c r="P241" i="15"/>
  <c r="P259" i="15" s="1"/>
  <c r="P148" i="15"/>
  <c r="K25" i="27"/>
  <c r="K27" i="27" s="1"/>
  <c r="K28" i="27" s="1"/>
  <c r="P203" i="15"/>
  <c r="P614" i="15"/>
  <c r="P114" i="15"/>
  <c r="P117" i="15" s="1"/>
  <c r="O160" i="15"/>
  <c r="O13" i="15" s="1"/>
  <c r="O164" i="15"/>
  <c r="P217" i="15" l="1"/>
  <c r="O166" i="15"/>
  <c r="J27" i="4" s="1"/>
  <c r="J26" i="4"/>
  <c r="O12" i="15"/>
  <c r="K55" i="21"/>
  <c r="P158" i="15"/>
  <c r="N24" i="26"/>
  <c r="N20" i="26"/>
  <c r="P205" i="15"/>
  <c r="P115" i="15"/>
  <c r="P624" i="15" s="1"/>
  <c r="P119" i="15"/>
  <c r="P142" i="15"/>
  <c r="P144" i="15" s="1"/>
  <c r="P616" i="15"/>
  <c r="P206" i="15"/>
  <c r="P220" i="15" s="1"/>
  <c r="P219" i="15" l="1"/>
  <c r="P873" i="15"/>
  <c r="P156" i="15"/>
  <c r="O10" i="15"/>
  <c r="O365" i="15"/>
  <c r="O227" i="15"/>
  <c r="O249" i="15" s="1"/>
  <c r="O574" i="15"/>
  <c r="O572" i="15" s="1"/>
  <c r="O606" i="15"/>
  <c r="O608" i="15" s="1"/>
  <c r="O609" i="15" s="1"/>
  <c r="P347" i="15" s="1"/>
  <c r="Q348" i="15" s="1"/>
  <c r="Q341" i="15" s="1"/>
  <c r="Q105" i="15" s="1"/>
  <c r="Q104" i="15" s="1"/>
  <c r="P120" i="15"/>
  <c r="P625" i="15" s="1"/>
  <c r="P584" i="15"/>
  <c r="P207" i="15"/>
  <c r="P221" i="15" s="1"/>
  <c r="P57" i="15"/>
  <c r="L51" i="21"/>
  <c r="Q148" i="15" l="1"/>
  <c r="Q203" i="15"/>
  <c r="Q217" i="15" s="1"/>
  <c r="Q614" i="15"/>
  <c r="Q114" i="15"/>
  <c r="O13" i="26"/>
  <c r="P242" i="15"/>
  <c r="P260" i="15" s="1"/>
  <c r="O51" i="26"/>
  <c r="O55" i="26" s="1"/>
  <c r="Q56" i="15"/>
  <c r="P50" i="15"/>
  <c r="L25" i="27"/>
  <c r="L27" i="27" s="1"/>
  <c r="L28" i="27" s="1"/>
  <c r="O590" i="15"/>
  <c r="O226" i="15"/>
  <c r="O1" i="15"/>
  <c r="O570" i="15"/>
  <c r="O567" i="15" s="1"/>
  <c r="P160" i="15"/>
  <c r="P13" i="15" s="1"/>
  <c r="Q158" i="15" s="1"/>
  <c r="P164" i="15"/>
  <c r="P594" i="15"/>
  <c r="P582" i="15"/>
  <c r="Q115" i="15" l="1"/>
  <c r="Q624" i="15" s="1"/>
  <c r="Q205" i="15"/>
  <c r="Q219" i="15" s="1"/>
  <c r="Q117" i="15"/>
  <c r="Q241" i="15"/>
  <c r="Q259" i="15" s="1"/>
  <c r="L55" i="21"/>
  <c r="P12" i="15"/>
  <c r="O245" i="15"/>
  <c r="O248" i="15"/>
  <c r="O587" i="15"/>
  <c r="O595" i="15"/>
  <c r="O592" i="15" s="1"/>
  <c r="P166" i="15"/>
  <c r="K26" i="4"/>
  <c r="L59" i="21"/>
  <c r="P602" i="15"/>
  <c r="P604" i="15" s="1"/>
  <c r="P235" i="15"/>
  <c r="P257" i="15" s="1"/>
  <c r="O33" i="26"/>
  <c r="O46" i="26" s="1"/>
  <c r="O75" i="26" s="1"/>
  <c r="O76" i="26" s="1"/>
  <c r="O80" i="26" s="1"/>
  <c r="O18" i="26"/>
  <c r="Q206" i="15" l="1"/>
  <c r="Q220" i="15" s="1"/>
  <c r="Q142" i="15"/>
  <c r="Q144" i="15" s="1"/>
  <c r="Q616" i="15"/>
  <c r="Q119" i="15"/>
  <c r="Q57" i="15" s="1"/>
  <c r="Q242" i="15" s="1"/>
  <c r="Q260" i="15" s="1"/>
  <c r="O20" i="26"/>
  <c r="O24" i="26"/>
  <c r="K27" i="4"/>
  <c r="G167" i="15"/>
  <c r="P10" i="15"/>
  <c r="P574" i="15"/>
  <c r="P572" i="15" s="1"/>
  <c r="P227" i="15"/>
  <c r="P249" i="15" s="1"/>
  <c r="P365" i="15"/>
  <c r="P606" i="15"/>
  <c r="P608" i="15" s="1"/>
  <c r="P609" i="15" s="1"/>
  <c r="Q347" i="15" s="1"/>
  <c r="M51" i="21" l="1"/>
  <c r="Q584" i="15"/>
  <c r="Q207" i="15"/>
  <c r="Q221" i="15" s="1"/>
  <c r="Q120" i="15"/>
  <c r="Q156" i="15"/>
  <c r="Q873" i="15"/>
  <c r="C828" i="15"/>
  <c r="D827" i="15" s="1"/>
  <c r="C767" i="15"/>
  <c r="D766" i="15" s="1"/>
  <c r="P570" i="15"/>
  <c r="P567" i="15" s="1"/>
  <c r="P226" i="15"/>
  <c r="P1" i="15"/>
  <c r="P590" i="15"/>
  <c r="P51" i="26"/>
  <c r="P55" i="26" s="1"/>
  <c r="P13" i="26"/>
  <c r="Q50" i="15"/>
  <c r="Q625" i="15" l="1"/>
  <c r="Q602" i="15"/>
  <c r="Q604" i="15" s="1"/>
  <c r="G3" i="19" s="1"/>
  <c r="Q235" i="15"/>
  <c r="Q257" i="15" s="1"/>
  <c r="Q160" i="15"/>
  <c r="Q13" i="15" s="1"/>
  <c r="Q164" i="15"/>
  <c r="Q166" i="15" s="1"/>
  <c r="Q594" i="15"/>
  <c r="Q582" i="15"/>
  <c r="P245" i="15"/>
  <c r="P248" i="15"/>
  <c r="P18" i="26"/>
  <c r="P33" i="26"/>
  <c r="P46" i="26" s="1"/>
  <c r="P75" i="26" s="1"/>
  <c r="P76" i="26" s="1"/>
  <c r="P80" i="26" s="1"/>
  <c r="P587" i="15"/>
  <c r="P595" i="15"/>
  <c r="P592" i="15" s="1"/>
  <c r="M59" i="21"/>
  <c r="L26" i="4" l="1"/>
  <c r="P20" i="26"/>
  <c r="P24" i="26"/>
  <c r="Q12" i="15"/>
  <c r="M55" i="21"/>
  <c r="Q227" i="15" l="1"/>
  <c r="Q249" i="15" s="1"/>
  <c r="Q365" i="15"/>
  <c r="Q606" i="15"/>
  <c r="Q608" i="15" s="1"/>
  <c r="Q609" i="15" s="1"/>
  <c r="Q574" i="15"/>
  <c r="Q572" i="15" s="1"/>
  <c r="L27" i="4"/>
  <c r="B28" i="4" s="1"/>
  <c r="G168" i="15"/>
  <c r="G170" i="15"/>
  <c r="Q10" i="15"/>
  <c r="Q570" i="15" l="1"/>
  <c r="Q567" i="15" s="1"/>
  <c r="Q590" i="15"/>
  <c r="Q226" i="15"/>
  <c r="G172" i="15"/>
  <c r="G190" i="15"/>
  <c r="G180" i="15"/>
  <c r="G182" i="15" s="1"/>
  <c r="C75" i="4"/>
  <c r="E75" i="4" s="1"/>
  <c r="D768" i="15"/>
  <c r="E769" i="15" s="1"/>
  <c r="D829" i="15"/>
  <c r="E830" i="15" s="1"/>
  <c r="F827" i="15" s="1"/>
  <c r="G832" i="15" s="1"/>
  <c r="Q1" i="15"/>
  <c r="Q248" i="15" l="1"/>
  <c r="Q245" i="15"/>
  <c r="Q595" i="15"/>
  <c r="Q592" i="15" s="1"/>
  <c r="Q587" i="15"/>
  <c r="H827" i="15"/>
  <c r="I834" i="15"/>
  <c r="F770" i="15"/>
  <c r="G771" i="15" s="1"/>
  <c r="E78" i="4"/>
  <c r="H75" i="4"/>
  <c r="G191" i="15"/>
  <c r="G185" i="15"/>
  <c r="G188" i="15"/>
  <c r="I773" i="15" l="1"/>
  <c r="H766" i="15"/>
  <c r="F766" i="15"/>
  <c r="G550" i="15"/>
  <c r="F2" i="19"/>
  <c r="G79" i="4"/>
  <c r="H79" i="4"/>
  <c r="F79" i="4"/>
  <c r="F77" i="4"/>
  <c r="F3" i="19"/>
  <c r="G77" i="4"/>
  <c r="F546" i="15"/>
  <c r="K836" i="15"/>
  <c r="J827" i="15"/>
  <c r="E79" i="4"/>
  <c r="H77" i="4" l="1"/>
  <c r="F78" i="4"/>
  <c r="G78" i="4"/>
  <c r="F540" i="15"/>
  <c r="F539" i="15"/>
  <c r="F545" i="15"/>
  <c r="G549" i="15"/>
  <c r="G548" i="15"/>
  <c r="G547" i="15"/>
  <c r="G553" i="15"/>
  <c r="G551" i="15"/>
  <c r="K775" i="15"/>
  <c r="J766" i="15"/>
  <c r="G556" i="15" l="1"/>
  <c r="I3" i="19" s="1"/>
  <c r="F541" i="15"/>
  <c r="G555" i="15"/>
  <c r="I2" i="19" l="1"/>
  <c r="G559" i="15"/>
  <c r="G557" i="15"/>
  <c r="G562" i="15" l="1"/>
  <c r="G56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ABI Consultoría</author>
  </authors>
  <commentList>
    <comment ref="G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ABI Consultoría:</t>
        </r>
        <r>
          <rPr>
            <sz val="9"/>
            <color indexed="81"/>
            <rFont val="Tahoma"/>
            <family val="2"/>
          </rPr>
          <t xml:space="preserve">
47,5% = 111.000
100% = 233.000
158% = 370.000</t>
        </r>
      </text>
    </comment>
    <comment ref="G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ABI Consultoría:</t>
        </r>
        <r>
          <rPr>
            <sz val="9"/>
            <color indexed="81"/>
            <rFont val="Tahoma"/>
            <family val="2"/>
          </rPr>
          <t xml:space="preserve">
39,5=70.000M
Base = 56
27,5= 120.000M
9= 195.000M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 Alonso Alvarez Sanchez</author>
  </authors>
  <commentList>
    <comment ref="J53" authorId="0" shapeId="0" xr:uid="{546C86CD-862B-4E62-8332-BC40265D0647}">
      <text>
        <r>
          <rPr>
            <b/>
            <sz val="9"/>
            <color indexed="81"/>
            <rFont val="Tahoma"/>
            <family val="2"/>
          </rPr>
          <t>Javier Alonso Alvarez Sanchez:</t>
        </r>
        <r>
          <rPr>
            <sz val="9"/>
            <color indexed="81"/>
            <rFont val="Tahoma"/>
            <family val="2"/>
          </rPr>
          <t xml:space="preserve">
Corresponde a la capitalización de deuda de CCF Comfama</t>
        </r>
      </text>
    </comment>
    <comment ref="K53" authorId="0" shapeId="0" xr:uid="{31FE71FC-33D7-4950-96F8-309A7D0162EF}">
      <text>
        <r>
          <rPr>
            <b/>
            <sz val="9"/>
            <color indexed="81"/>
            <rFont val="Tahoma"/>
            <family val="2"/>
          </rPr>
          <t>Javier Alonso Alvarez Sanchez:</t>
        </r>
        <r>
          <rPr>
            <sz val="9"/>
            <color indexed="81"/>
            <rFont val="Tahoma"/>
            <family val="2"/>
          </rPr>
          <t xml:space="preserve">
Antioquia 10,000
Medellín 10,000
Comfama 10,000</t>
        </r>
      </text>
    </comment>
    <comment ref="L53" authorId="0" shapeId="0" xr:uid="{BE237618-EBBC-41E4-AA4F-A3467010D926}">
      <text>
        <r>
          <rPr>
            <b/>
            <sz val="9"/>
            <color indexed="81"/>
            <rFont val="Tahoma"/>
            <family val="2"/>
          </rPr>
          <t>Javier Alonso Alvarez Sanchez:</t>
        </r>
        <r>
          <rPr>
            <sz val="9"/>
            <color indexed="81"/>
            <rFont val="Tahoma"/>
            <family val="2"/>
          </rPr>
          <t xml:space="preserve">
Antioquia 10,000
Medellín 10,000
Comfama 10,000</t>
        </r>
      </text>
    </comment>
    <comment ref="M53" authorId="0" shapeId="0" xr:uid="{701DA8B3-B34A-4CE3-AB24-AFFA868BF247}">
      <text>
        <r>
          <rPr>
            <b/>
            <sz val="9"/>
            <color indexed="81"/>
            <rFont val="Tahoma"/>
            <family val="2"/>
          </rPr>
          <t>Javier Alonso Alvarez Sanchez:</t>
        </r>
        <r>
          <rPr>
            <sz val="9"/>
            <color indexed="81"/>
            <rFont val="Tahoma"/>
            <family val="2"/>
          </rPr>
          <t xml:space="preserve">
Antioquia 10,000
Medellín 10,000
Comfama 10,000</t>
        </r>
      </text>
    </comment>
    <comment ref="L54" authorId="0" shapeId="0" xr:uid="{83707148-717B-47F4-A5FF-7D0AE0E288BA}">
      <text>
        <r>
          <rPr>
            <b/>
            <sz val="9"/>
            <color indexed="81"/>
            <rFont val="Tahoma"/>
            <family val="2"/>
          </rPr>
          <t>Javier Alonso Alvarez Sanchez:</t>
        </r>
        <r>
          <rPr>
            <sz val="9"/>
            <color indexed="81"/>
            <rFont val="Tahoma"/>
            <family val="2"/>
          </rPr>
          <t xml:space="preserve">
Acreencias entidades públicas $18,000 privados $12,000</t>
        </r>
      </text>
    </comment>
  </commentList>
</comments>
</file>

<file path=xl/sharedStrings.xml><?xml version="1.0" encoding="utf-8"?>
<sst xmlns="http://schemas.openxmlformats.org/spreadsheetml/2006/main" count="7430" uniqueCount="1719">
  <si>
    <t>SAVIA SALUD EPS SAS</t>
  </si>
  <si>
    <t>Cifras en Pesos Colombianos</t>
  </si>
  <si>
    <t>Unidad</t>
  </si>
  <si>
    <t>Población afiliada</t>
  </si>
  <si>
    <t>Innovación + Desarrollo</t>
  </si>
  <si>
    <t>COP</t>
  </si>
  <si>
    <t>Valor UPC promedio año</t>
  </si>
  <si>
    <t>Distribución de la población</t>
  </si>
  <si>
    <t>Dispersa</t>
  </si>
  <si>
    <t>Conurbada</t>
  </si>
  <si>
    <t xml:space="preserve">Básica </t>
  </si>
  <si>
    <t>COP M</t>
  </si>
  <si>
    <t>%</t>
  </si>
  <si>
    <t>Costo médico</t>
  </si>
  <si>
    <t>Servicios</t>
  </si>
  <si>
    <t>Incapacidades</t>
  </si>
  <si>
    <t>UPC</t>
  </si>
  <si>
    <t>Margen neto</t>
  </si>
  <si>
    <t>Días</t>
  </si>
  <si>
    <t>Año</t>
  </si>
  <si>
    <t>Afiliados</t>
  </si>
  <si>
    <t>Promedio</t>
  </si>
  <si>
    <t>%/Gastos</t>
  </si>
  <si>
    <t>Panel de control</t>
  </si>
  <si>
    <t>Value drivers</t>
  </si>
  <si>
    <t>CUENTA</t>
  </si>
  <si>
    <t>LARGO</t>
  </si>
  <si>
    <t>NOMBRE</t>
  </si>
  <si>
    <t>201512</t>
  </si>
  <si>
    <t>201612</t>
  </si>
  <si>
    <t>201712</t>
  </si>
  <si>
    <t>201806</t>
  </si>
  <si>
    <t>1</t>
  </si>
  <si>
    <t>TOTAL ACTIVOS</t>
  </si>
  <si>
    <t>11</t>
  </si>
  <si>
    <t>EFECTIVO</t>
  </si>
  <si>
    <t>1105</t>
  </si>
  <si>
    <t>CAJA</t>
  </si>
  <si>
    <t>110502</t>
  </si>
  <si>
    <t>CAJA MENOR</t>
  </si>
  <si>
    <t>1110</t>
  </si>
  <si>
    <t>DEPÓSITOS EN INSTITUCIONES FINANCIERAS</t>
  </si>
  <si>
    <t>111006</t>
  </si>
  <si>
    <t>CUENTA DE AHORRO</t>
  </si>
  <si>
    <t>111015</t>
  </si>
  <si>
    <t>CUENTA ESPECIAL</t>
  </si>
  <si>
    <t>12</t>
  </si>
  <si>
    <t xml:space="preserve">INVERSIONES E INSTRUMENTOS DERIVADOS  </t>
  </si>
  <si>
    <t>1201</t>
  </si>
  <si>
    <t>INVERSIONES ADMON DE LIQUIDEZ EN TITULOS DE DEUDA</t>
  </si>
  <si>
    <t>120106</t>
  </si>
  <si>
    <t>CERTIFICADOS DE DEPOSITO A TERMINO FIJO</t>
  </si>
  <si>
    <t>1202</t>
  </si>
  <si>
    <t xml:space="preserve">INVERSIONES ADMINISTRACIÓN DE LIQUIDEZ EN TÍTULOS DE DEUDA </t>
  </si>
  <si>
    <t>120205</t>
  </si>
  <si>
    <t xml:space="preserve">CERTIFICADOS DE DEPÓSITO A TÉRMINO </t>
  </si>
  <si>
    <t>1223</t>
  </si>
  <si>
    <t>INVERSIONES DE ADMINISTRACION DE LIQUIDEZ A COSTO AMORTIZADO</t>
  </si>
  <si>
    <t>13</t>
  </si>
  <si>
    <t>CUENTAS POR COBRAR</t>
  </si>
  <si>
    <t>1322</t>
  </si>
  <si>
    <t>ADMINISTRACIÓN DEL SISTEMA DE SEGURIDAD SOCIAL EN SALUD</t>
  </si>
  <si>
    <t>132206</t>
  </si>
  <si>
    <t>UNIDAD DE PAGO POR CAPITACIÓN (UPC) RÉGIMEN SUBSIDIADO</t>
  </si>
  <si>
    <t>132212</t>
  </si>
  <si>
    <t>RECOBRO DE ENFERMEDADES ALTO COSTO</t>
  </si>
  <si>
    <t>132215</t>
  </si>
  <si>
    <t>CUENTAS POR COBRAR NO POS PENDIENTES DE RADICAR</t>
  </si>
  <si>
    <t>132216</t>
  </si>
  <si>
    <t>CUENTAS POR COBRAR NO POS RADICADAS</t>
  </si>
  <si>
    <t>132217</t>
  </si>
  <si>
    <t>CUENTAS POR COBRAR ENTIDADES TERRITORIALES PENDIENTES DE RADICAR</t>
  </si>
  <si>
    <t>132218</t>
  </si>
  <si>
    <t>CUENTAS POR COBRAR ENTIDADES TERRITORIALES RADICADAS</t>
  </si>
  <si>
    <t>132221</t>
  </si>
  <si>
    <t>SALDO A FAVOR EN PROCESO DE COMPENSACIÓN RÉGIMEN CONTRIBUTIVO</t>
  </si>
  <si>
    <t>132290</t>
  </si>
  <si>
    <t>OTROS INGRESOS POR LA ADMINISTRACIÓN DEL SISTEMA DE SEGURIDAD SOCIAL EN SALUD</t>
  </si>
  <si>
    <t>1384</t>
  </si>
  <si>
    <t>OTROS CUENTAS POR COBRAR</t>
  </si>
  <si>
    <t>138490</t>
  </si>
  <si>
    <t>1386</t>
  </si>
  <si>
    <t>DETERIORO ACUMULADO DE CUENTAS POR COBRAR (CR)</t>
  </si>
  <si>
    <t>138610</t>
  </si>
  <si>
    <t>138690</t>
  </si>
  <si>
    <t>OTRAS CUENTAS POR COBRAR</t>
  </si>
  <si>
    <t>14</t>
  </si>
  <si>
    <t>DEUDORES</t>
  </si>
  <si>
    <t>1411</t>
  </si>
  <si>
    <t>141106</t>
  </si>
  <si>
    <t>UNIDAD DE PAGO POR CAPITACIÓN RÉGIMES SUNSIDIADO - UPC</t>
  </si>
  <si>
    <t>141112</t>
  </si>
  <si>
    <t>141115</t>
  </si>
  <si>
    <t>CUENTAS POR COBRAR FOSYGA PENDIENTES DE RADICAR</t>
  </si>
  <si>
    <t>141116</t>
  </si>
  <si>
    <t>CUENTAS POR COBRAR FOSYGA RADICADAS</t>
  </si>
  <si>
    <t>141117</t>
  </si>
  <si>
    <t>141118</t>
  </si>
  <si>
    <t>141190</t>
  </si>
  <si>
    <t>1420</t>
  </si>
  <si>
    <t>AVANCES Y ANTICIPOS ENTREGADOS</t>
  </si>
  <si>
    <t>142011</t>
  </si>
  <si>
    <t>ANTICIPOS EMPLEADOS</t>
  </si>
  <si>
    <t>142012</t>
  </si>
  <si>
    <t>ANTICIPO PARA ADQUISICIÓN DE BIENES Y SERVICIOS</t>
  </si>
  <si>
    <t>1422</t>
  </si>
  <si>
    <t>ANTICIPOS O SALDOS A FAVOR POR IMPUESTOS Y CONTRIBUCIONES</t>
  </si>
  <si>
    <t>142202</t>
  </si>
  <si>
    <t>RETENCIÓN EN LA FUENTE</t>
  </si>
  <si>
    <t>1425</t>
  </si>
  <si>
    <t>DEPOSITOS ENTREGADOS EN GARANTIA</t>
  </si>
  <si>
    <t>142501</t>
  </si>
  <si>
    <t>PARA SERVICIOS</t>
  </si>
  <si>
    <t>142503</t>
  </si>
  <si>
    <t>DEPOSITOS JUDICIALES</t>
  </si>
  <si>
    <t>1470</t>
  </si>
  <si>
    <t>OTROS DEUDORES</t>
  </si>
  <si>
    <t>147083</t>
  </si>
  <si>
    <t>OTROS INTERESES</t>
  </si>
  <si>
    <t>147090</t>
  </si>
  <si>
    <t>1475</t>
  </si>
  <si>
    <t>DEUDAS DE DIFÍCIL RECAUDO</t>
  </si>
  <si>
    <t>147513</t>
  </si>
  <si>
    <t>1480</t>
  </si>
  <si>
    <t>PROVISIÓN PARA DEUDORES (CR)</t>
  </si>
  <si>
    <t>148015</t>
  </si>
  <si>
    <t>16</t>
  </si>
  <si>
    <t>PROPIEDADES, PLANTA Y EQUIPO</t>
  </si>
  <si>
    <t>1665</t>
  </si>
  <si>
    <t>MUEBLES, ENSERES Y EQUIPO DE OFICINA</t>
  </si>
  <si>
    <t>166501</t>
  </si>
  <si>
    <t>MUEBLES Y ENSERES</t>
  </si>
  <si>
    <t>166502</t>
  </si>
  <si>
    <t>EQUIPO Y MÁQUINA DE OFICINA</t>
  </si>
  <si>
    <t>1670</t>
  </si>
  <si>
    <t>EQUIPOS DE COMUNICACIÓN Y COMPUTACIÓN</t>
  </si>
  <si>
    <t>167001</t>
  </si>
  <si>
    <t>EQUIPO DE COMUNICACIÓN</t>
  </si>
  <si>
    <t>167002</t>
  </si>
  <si>
    <t>EQUIPO DE COMPUTACIÓN</t>
  </si>
  <si>
    <t>1680</t>
  </si>
  <si>
    <t>EQUIPOS DE COMEDOR, COCINA, DESPENSA Y HOTELERÍA</t>
  </si>
  <si>
    <t>168002</t>
  </si>
  <si>
    <t>EQUIPO DE RESTAURANTE Y CAFETERÍA</t>
  </si>
  <si>
    <t>1685</t>
  </si>
  <si>
    <t>DEPRECIACIÓN ACUMULADA (CR)</t>
  </si>
  <si>
    <t>168506</t>
  </si>
  <si>
    <t>168507</t>
  </si>
  <si>
    <t>168509</t>
  </si>
  <si>
    <t>19</t>
  </si>
  <si>
    <t>OTROS ACTIVOS</t>
  </si>
  <si>
    <t>1905</t>
  </si>
  <si>
    <t>BIENES Y SERVICIOS PAGADOS POR ANTICIPADO</t>
  </si>
  <si>
    <t>190501</t>
  </si>
  <si>
    <t>SEGUROS</t>
  </si>
  <si>
    <t>1906</t>
  </si>
  <si>
    <t>190603</t>
  </si>
  <si>
    <t>AVANCES PARA VIÁTICOS Y GASTOS DE VIAJE</t>
  </si>
  <si>
    <t>190604</t>
  </si>
  <si>
    <t>1907</t>
  </si>
  <si>
    <t>190702</t>
  </si>
  <si>
    <t>1909</t>
  </si>
  <si>
    <t>190901</t>
  </si>
  <si>
    <t>190903</t>
  </si>
  <si>
    <t>1926</t>
  </si>
  <si>
    <t xml:space="preserve">DERECHOS EN FIDEICOMISO  </t>
  </si>
  <si>
    <t>192603</t>
  </si>
  <si>
    <t>FIDUCIA MERCANTIL - CONSTITUCIÓN DE PATRIMONIO AUTÓNOMO</t>
  </si>
  <si>
    <t>1970</t>
  </si>
  <si>
    <t>INTANGIBLES</t>
  </si>
  <si>
    <t>197001</t>
  </si>
  <si>
    <t>PLUSVALÍA</t>
  </si>
  <si>
    <t>1975</t>
  </si>
  <si>
    <t>AMORTIZACIÓN ACUMULADA DE INTANGIBLES (CR)</t>
  </si>
  <si>
    <t>2</t>
  </si>
  <si>
    <t>TOTAL PASIVOS</t>
  </si>
  <si>
    <t>23</t>
  </si>
  <si>
    <t>OPERACIONES DE FINANCIAMIENTO E INSTRUMENTOS DERIVADOS</t>
  </si>
  <si>
    <t>2313</t>
  </si>
  <si>
    <t>FINANCIAMIENTO INTERNO DE CORTO PLAZO</t>
  </si>
  <si>
    <t>231314</t>
  </si>
  <si>
    <t>PRESTAMOS DE OTRAS ENTIDADES</t>
  </si>
  <si>
    <t>24</t>
  </si>
  <si>
    <t>CUENTAS POR PAGAR</t>
  </si>
  <si>
    <t>2401</t>
  </si>
  <si>
    <t>ADQUISICIÓN DE BIENES Y SERVICIOS NACIONALES</t>
  </si>
  <si>
    <t>240101</t>
  </si>
  <si>
    <t>BIENES Y SERVICIOS</t>
  </si>
  <si>
    <t>2424</t>
  </si>
  <si>
    <t>DESCUENTOS DE NOMINA</t>
  </si>
  <si>
    <t>242401</t>
  </si>
  <si>
    <t>APORTES A FONDOS PENSIONALES</t>
  </si>
  <si>
    <t>242402</t>
  </si>
  <si>
    <t>APORTES A SEGURIDAD SOCIAL EN SALUD</t>
  </si>
  <si>
    <t>242406</t>
  </si>
  <si>
    <t>FONDO DE EMPLEADOS</t>
  </si>
  <si>
    <t>242407</t>
  </si>
  <si>
    <t>LIBRANZAS</t>
  </si>
  <si>
    <t>242408</t>
  </si>
  <si>
    <t>CONTRATOS DE MEDICINA PREPAGADA</t>
  </si>
  <si>
    <t>242411</t>
  </si>
  <si>
    <t>EMBARGOS JUDICIALES</t>
  </si>
  <si>
    <t>242413</t>
  </si>
  <si>
    <t>CUENTA DE AHORRO PARA EL FOMENTO DE LA CONSTRUCCIÓN (AFC)</t>
  </si>
  <si>
    <t>2425</t>
  </si>
  <si>
    <t>ACREEDORES</t>
  </si>
  <si>
    <t>242504</t>
  </si>
  <si>
    <t>SERVICIOS PÚBLICOS</t>
  </si>
  <si>
    <t>242507</t>
  </si>
  <si>
    <t>ARRENDAMIENTOS</t>
  </si>
  <si>
    <t>242508</t>
  </si>
  <si>
    <t>VIÁTICOS Y GASTOS DE VIAJE</t>
  </si>
  <si>
    <t>242518</t>
  </si>
  <si>
    <t>242519</t>
  </si>
  <si>
    <t>242520</t>
  </si>
  <si>
    <t>APORTES AL ICBF, SENA Y CAJAS DE COMPENSACIÓN</t>
  </si>
  <si>
    <t>242523</t>
  </si>
  <si>
    <t>CXP RET.NOMINA FONDO DE EMPLEADOS</t>
  </si>
  <si>
    <t>242524</t>
  </si>
  <si>
    <t>242532</t>
  </si>
  <si>
    <t>APORTE RIESGOS PROFESIONALES</t>
  </si>
  <si>
    <t>242535</t>
  </si>
  <si>
    <t>242552</t>
  </si>
  <si>
    <t>HONORARIOS</t>
  </si>
  <si>
    <t>242553</t>
  </si>
  <si>
    <t>SERVICIOS</t>
  </si>
  <si>
    <t>242590</t>
  </si>
  <si>
    <t>OTROS ACREEDORES</t>
  </si>
  <si>
    <t>2436</t>
  </si>
  <si>
    <t>RETENCIÓN EN LA FUENTE E IMPUESTO DE TIMBRE</t>
  </si>
  <si>
    <t>243603</t>
  </si>
  <si>
    <t>243604</t>
  </si>
  <si>
    <t>COMISIONES</t>
  </si>
  <si>
    <t>243605</t>
  </si>
  <si>
    <t>243606</t>
  </si>
  <si>
    <t>243608</t>
  </si>
  <si>
    <t>COMPRAS</t>
  </si>
  <si>
    <t>243615</t>
  </si>
  <si>
    <t>A EMPLEADOS ART 383 ET</t>
  </si>
  <si>
    <t>243625</t>
  </si>
  <si>
    <t>IMPUESTO A LAS VENTAS RETENIDO POR CONSIGNAR</t>
  </si>
  <si>
    <t>243627</t>
  </si>
  <si>
    <t>RETENCIÓN DE IMPUESTO DE INDUSTRIA Y COMERCIO POR COMPRAS</t>
  </si>
  <si>
    <t>2450</t>
  </si>
  <si>
    <t>AVANCES Y ANTICIPOS RECIBIDOS</t>
  </si>
  <si>
    <t>245001</t>
  </si>
  <si>
    <t>ANTICIPOS SOBRE VENTAS DE BIENES Y SERVICIOS</t>
  </si>
  <si>
    <t>2475</t>
  </si>
  <si>
    <t>RECURSOS RECIBIDOS DEL SISTEMA DE SEGURIDAD SOCIAL EN SALUD</t>
  </si>
  <si>
    <t>247501</t>
  </si>
  <si>
    <t>COTIZACIONES</t>
  </si>
  <si>
    <t>247507</t>
  </si>
  <si>
    <t>RENDIMIENTOS A DECLARAR</t>
  </si>
  <si>
    <t>247590</t>
  </si>
  <si>
    <t>OTROS INGRESOS AL SISTEMA</t>
  </si>
  <si>
    <t>2481</t>
  </si>
  <si>
    <t>ADMINISTRACIÓN DE LA SEGURIDAD SOCIAL EN SALUD</t>
  </si>
  <si>
    <t>248101</t>
  </si>
  <si>
    <t>CONTRATOS DE CAPITACIÓN- CONTRIBUTIVO</t>
  </si>
  <si>
    <t>248102</t>
  </si>
  <si>
    <t>CONTRATOS POR EVENTO Y OTRAS MODALIDADES - CONTRIBUTIVO</t>
  </si>
  <si>
    <t>248106</t>
  </si>
  <si>
    <t>INCAPACIDADES - CONTRIBUTIVO</t>
  </si>
  <si>
    <t>248107</t>
  </si>
  <si>
    <t>CONTRATOS DE CAPITACIÓN - SUBSIDIADO</t>
  </si>
  <si>
    <t>248108</t>
  </si>
  <si>
    <t>CONTRATOS POR EVENTOS Y OTRAS MODALIDADES - SUBSIDIADO</t>
  </si>
  <si>
    <t>248118</t>
  </si>
  <si>
    <t>OBLIGACIONES POR SERVICIOS NO POS</t>
  </si>
  <si>
    <t>248190</t>
  </si>
  <si>
    <t>OTROS GASTOS DE SEGURIDAD SOCIAL EN SALUD</t>
  </si>
  <si>
    <t>2490</t>
  </si>
  <si>
    <t>OTRAS CUENTAS POR PAGAR</t>
  </si>
  <si>
    <t>249013</t>
  </si>
  <si>
    <t>RECURSOS DE ACREEDORES REINTEGRADOS POR ENTIDADES PÚBLICAS</t>
  </si>
  <si>
    <t>249027</t>
  </si>
  <si>
    <t>249046</t>
  </si>
  <si>
    <t>SERVICIOS FINANCIEROS</t>
  </si>
  <si>
    <t>249050</t>
  </si>
  <si>
    <t>APORTES AL ICBF Y SENA</t>
  </si>
  <si>
    <t>249051</t>
  </si>
  <si>
    <t>249054</t>
  </si>
  <si>
    <t>249055</t>
  </si>
  <si>
    <t>249058</t>
  </si>
  <si>
    <t>ARRENDAMIENTO OPERATIVO</t>
  </si>
  <si>
    <t>25</t>
  </si>
  <si>
    <t>OBLIGACIONES LABORALES Y DE SEGURIDAD SOCIAL INTEGRAL</t>
  </si>
  <si>
    <t>2505</t>
  </si>
  <si>
    <t>SALARIOS Y PRESTACIONES SOCIALES</t>
  </si>
  <si>
    <t>250501</t>
  </si>
  <si>
    <t>NÓMINA POR PAGAR</t>
  </si>
  <si>
    <t>250502</t>
  </si>
  <si>
    <t>CESANTÍAS</t>
  </si>
  <si>
    <t>250503</t>
  </si>
  <si>
    <t>INTERESES SOBRE CESANTÍAS</t>
  </si>
  <si>
    <t>250504</t>
  </si>
  <si>
    <t>VACACIONES</t>
  </si>
  <si>
    <t>250506</t>
  </si>
  <si>
    <t>OBLIGACIONES LABORALES PRIMA DE SERVICI</t>
  </si>
  <si>
    <t>2511</t>
  </si>
  <si>
    <t>BENEFICIO A LOS EMPLEADOS A CORTO PLAZO</t>
  </si>
  <si>
    <t>251101</t>
  </si>
  <si>
    <t>251102</t>
  </si>
  <si>
    <t>251103</t>
  </si>
  <si>
    <t>251104</t>
  </si>
  <si>
    <t>251106</t>
  </si>
  <si>
    <t>PRIMA DE SERVICIOS</t>
  </si>
  <si>
    <t>251111</t>
  </si>
  <si>
    <t>APORTE RIESGOS LABORALES</t>
  </si>
  <si>
    <t>251115</t>
  </si>
  <si>
    <t>CAPACITACIÓN, BIENESTAR SOCIAL Y ESTÍMULOS</t>
  </si>
  <si>
    <t>251122</t>
  </si>
  <si>
    <t>APORTES A FONDOS PENSIONALES -EMPLEADOR</t>
  </si>
  <si>
    <t>251123</t>
  </si>
  <si>
    <t>APORTES A SEGURIDAD SOCIAL EN SALUD -EMPLEADOR</t>
  </si>
  <si>
    <t>251124</t>
  </si>
  <si>
    <t>APORTES A CAJAS DE COMPENSACIÓN FAMILIAR</t>
  </si>
  <si>
    <t>2550</t>
  </si>
  <si>
    <t>255001</t>
  </si>
  <si>
    <t>255006</t>
  </si>
  <si>
    <t>255007</t>
  </si>
  <si>
    <t>255008</t>
  </si>
  <si>
    <t>CONTRATOS POR EVENTOS - SUBSIDIADO</t>
  </si>
  <si>
    <t>255018</t>
  </si>
  <si>
    <t>255090</t>
  </si>
  <si>
    <t>27</t>
  </si>
  <si>
    <t>PASIVOS ESTIMADOS</t>
  </si>
  <si>
    <t>2701</t>
  </si>
  <si>
    <t>LITIGIOS Y DEMANDAS</t>
  </si>
  <si>
    <t>270103</t>
  </si>
  <si>
    <t>ADMINISTRATIVOS</t>
  </si>
  <si>
    <t>2710</t>
  </si>
  <si>
    <t>PROVISIÓN PARA CONTINGENCIAS</t>
  </si>
  <si>
    <t>271005</t>
  </si>
  <si>
    <t>LITIGIOS</t>
  </si>
  <si>
    <t>271006</t>
  </si>
  <si>
    <t>OBLIGACIONES POTENCIALES</t>
  </si>
  <si>
    <t>2790</t>
  </si>
  <si>
    <t xml:space="preserve">PROVISIONES DIVERSAS </t>
  </si>
  <si>
    <t>279012</t>
  </si>
  <si>
    <t>279021</t>
  </si>
  <si>
    <t>RESERVAS TÉCNICAS POR SERVICIOS DE SALUD AUTORIZADOS</t>
  </si>
  <si>
    <t>279022</t>
  </si>
  <si>
    <t>RESERVAS TÉCNICAS POR SERVICIOS DE SALUD OCURRIDOS  NO CONOCIDOS</t>
  </si>
  <si>
    <t>279023</t>
  </si>
  <si>
    <t>RESERVAS TÉCNICAS POR INCAPACIDADES</t>
  </si>
  <si>
    <t>279090</t>
  </si>
  <si>
    <t>OTRAS PROVISIONES DIVERSAS</t>
  </si>
  <si>
    <t>29</t>
  </si>
  <si>
    <t xml:space="preserve">OTROS PASIVOS </t>
  </si>
  <si>
    <t>2901</t>
  </si>
  <si>
    <t>290101</t>
  </si>
  <si>
    <t>3</t>
  </si>
  <si>
    <t>TOTAL PATRIMONIO</t>
  </si>
  <si>
    <t>32</t>
  </si>
  <si>
    <t xml:space="preserve">PATRIMONIO INSTITUCIONAL </t>
  </si>
  <si>
    <t>3204</t>
  </si>
  <si>
    <t>CAPITAL SUSCRITO Y PAGADO</t>
  </si>
  <si>
    <t>320401</t>
  </si>
  <si>
    <t>CAPITAL AUTORIZADO</t>
  </si>
  <si>
    <t>320402</t>
  </si>
  <si>
    <t>CAPITAL X SUSCRIBIR</t>
  </si>
  <si>
    <t>3225</t>
  </si>
  <si>
    <t xml:space="preserve">RESULTADOS DE EJERCICIOS ANTERIORES </t>
  </si>
  <si>
    <t>322500</t>
  </si>
  <si>
    <t>PÉRDIDA O DÉFICIT ACUMULADOS</t>
  </si>
  <si>
    <t>322502</t>
  </si>
  <si>
    <t>3268</t>
  </si>
  <si>
    <t>IMPACTOS POR LA TRANSICIÓN AL NUEVO MARCO DE REGULACIÓN</t>
  </si>
  <si>
    <t>326803</t>
  </si>
  <si>
    <t>326807</t>
  </si>
  <si>
    <t>ACTIVOS INTANGIBLES</t>
  </si>
  <si>
    <t>326810</t>
  </si>
  <si>
    <t>4</t>
  </si>
  <si>
    <t>TOTAL INGRESO</t>
  </si>
  <si>
    <t>43</t>
  </si>
  <si>
    <t xml:space="preserve">VENTA DE SERVICIOS </t>
  </si>
  <si>
    <t>4311</t>
  </si>
  <si>
    <t xml:space="preserve">ADMINISTRACIÓN DEL SISTEMA DE SEGURIDAD SOCIAL EN SALUD </t>
  </si>
  <si>
    <t>431101</t>
  </si>
  <si>
    <t>UNIDAD DE PAGO POR CAPITACIÓN RÉGIMEN CONTRIBUTIVO- UPC</t>
  </si>
  <si>
    <t>431104</t>
  </si>
  <si>
    <t>COPAGOS RÉGIMEN CONTRIBUTIVO</t>
  </si>
  <si>
    <t>431106</t>
  </si>
  <si>
    <t>UNIDAD DE PAGO POR CAPITACIÓN RÉGIMEN SUBSIDIADO- UPC</t>
  </si>
  <si>
    <t>431107</t>
  </si>
  <si>
    <t>COPAGOS RÉGIMEN SUBSIDIADO</t>
  </si>
  <si>
    <t>431112</t>
  </si>
  <si>
    <t>431120</t>
  </si>
  <si>
    <t>INCAPACIDADES</t>
  </si>
  <si>
    <t>431190</t>
  </si>
  <si>
    <t>48</t>
  </si>
  <si>
    <t xml:space="preserve">OTROS INGRESOS  </t>
  </si>
  <si>
    <t>4802</t>
  </si>
  <si>
    <t>FINANCIEROS</t>
  </si>
  <si>
    <t>480201</t>
  </si>
  <si>
    <t>INTERESES SOBRE DEPÓSITOS EN INSTITUCIONES FINANCIERAS</t>
  </si>
  <si>
    <t>480230</t>
  </si>
  <si>
    <t>GANANCIA POR MEDICION INICIAL DE CUENTA</t>
  </si>
  <si>
    <t>480232</t>
  </si>
  <si>
    <t>RENDIMIENTOS SOBRE RECURSOS ENTREGADOS EN ADMINISTRACIÓN</t>
  </si>
  <si>
    <t>480290</t>
  </si>
  <si>
    <t>OTROS INGRESOS FINANCIEROS</t>
  </si>
  <si>
    <t>4805</t>
  </si>
  <si>
    <t>480522</t>
  </si>
  <si>
    <t>480535</t>
  </si>
  <si>
    <t>480590</t>
  </si>
  <si>
    <t>4808</t>
  </si>
  <si>
    <t>OTROS INGRESOS ORDINARIOS</t>
  </si>
  <si>
    <t>480805</t>
  </si>
  <si>
    <t>UTILIDAD EN VENTA DE ACTIVOS</t>
  </si>
  <si>
    <t>480826</t>
  </si>
  <si>
    <t>RECUPERACIONES</t>
  </si>
  <si>
    <t>480827</t>
  </si>
  <si>
    <t>APROVECHAMIENTOS</t>
  </si>
  <si>
    <t>480890</t>
  </si>
  <si>
    <t>OTROS INGRESOS DIVERSOS</t>
  </si>
  <si>
    <t>4810</t>
  </si>
  <si>
    <t>EXTRAORDINARIOS</t>
  </si>
  <si>
    <t>481008</t>
  </si>
  <si>
    <t>481047</t>
  </si>
  <si>
    <t>4815</t>
  </si>
  <si>
    <t>AJUSTE DE EJERCICIOS ANTERIORES</t>
  </si>
  <si>
    <t>481559</t>
  </si>
  <si>
    <t>OTROS INGRESOS</t>
  </si>
  <si>
    <t>5</t>
  </si>
  <si>
    <t>TOTAL GASTOS</t>
  </si>
  <si>
    <t>51</t>
  </si>
  <si>
    <t>DE ADMINISTRACIÓN</t>
  </si>
  <si>
    <t>5101</t>
  </si>
  <si>
    <t>SUELDOS Y SALARIOS</t>
  </si>
  <si>
    <t>510101</t>
  </si>
  <si>
    <t>SUELDOS DEL PERSONAL</t>
  </si>
  <si>
    <t>510103</t>
  </si>
  <si>
    <t>HORAS EXTRAS Y FESTIVOS</t>
  </si>
  <si>
    <t>510105</t>
  </si>
  <si>
    <t>GASTOS DE REPRESENTACIÓN</t>
  </si>
  <si>
    <t>510106</t>
  </si>
  <si>
    <t>REMUNERACIÓN SERVICIOS TÉCNICOS</t>
  </si>
  <si>
    <t>510109</t>
  </si>
  <si>
    <t>510117</t>
  </si>
  <si>
    <t>510123</t>
  </si>
  <si>
    <t>AUXILIO DE TRANSPORTE</t>
  </si>
  <si>
    <t>510124</t>
  </si>
  <si>
    <t>510125</t>
  </si>
  <si>
    <t>INTERESES A LAS CESANTÍAS</t>
  </si>
  <si>
    <t>510130</t>
  </si>
  <si>
    <t>510131</t>
  </si>
  <si>
    <t>GTOS PERSONAL VESTIDO Y CALZADO DE LABO</t>
  </si>
  <si>
    <t>510145</t>
  </si>
  <si>
    <t>SALARIO INTEGRAL</t>
  </si>
  <si>
    <t>510147</t>
  </si>
  <si>
    <t>VIÁTICOS</t>
  </si>
  <si>
    <t>510148</t>
  </si>
  <si>
    <t>GASTOS DE VIAJE</t>
  </si>
  <si>
    <t>510152</t>
  </si>
  <si>
    <t>5102</t>
  </si>
  <si>
    <t xml:space="preserve">CONTRIBUCIONES IMPUTADAS </t>
  </si>
  <si>
    <t>510201</t>
  </si>
  <si>
    <t>510203</t>
  </si>
  <si>
    <t>INDEMNIZACIONES</t>
  </si>
  <si>
    <t>5103</t>
  </si>
  <si>
    <t>CONTRIBUCIONES EFECTIVAS</t>
  </si>
  <si>
    <t>510302</t>
  </si>
  <si>
    <t>510303</t>
  </si>
  <si>
    <t>COTIZACIONES A SEGURIDAD SOCIAL EN SALUD</t>
  </si>
  <si>
    <t>510305</t>
  </si>
  <si>
    <t>COTIZACIONES A RIESGOS PROFESIONALES</t>
  </si>
  <si>
    <t>510306</t>
  </si>
  <si>
    <t>COTIZACIONES A ENTIDADES ADMINISTRADORAS DEL RÉGIMEN DE PRIMA MEDIA</t>
  </si>
  <si>
    <t>510307</t>
  </si>
  <si>
    <t>COTIZACIONES A ENTIDADES ADMINISTRADORAS DEL RÉGIMEN DE AHORRO INDIVIDUAL</t>
  </si>
  <si>
    <t>5104</t>
  </si>
  <si>
    <t>APORTES SOBRE LA NÓMINA</t>
  </si>
  <si>
    <t>510401</t>
  </si>
  <si>
    <t>APORTES AL ICBF</t>
  </si>
  <si>
    <t>510402</t>
  </si>
  <si>
    <t>APORTES AL SENA</t>
  </si>
  <si>
    <t>5107</t>
  </si>
  <si>
    <t>PRESTACIONES SOCIALES</t>
  </si>
  <si>
    <t>510701</t>
  </si>
  <si>
    <t>510702</t>
  </si>
  <si>
    <t>510703</t>
  </si>
  <si>
    <t>510706</t>
  </si>
  <si>
    <t>5108</t>
  </si>
  <si>
    <t>GASTOS DE PERSONAL DIVERSOS</t>
  </si>
  <si>
    <t>510801</t>
  </si>
  <si>
    <t>REMUNERACIÓN POR SERVICIOS TÉCNICOS</t>
  </si>
  <si>
    <t>510802</t>
  </si>
  <si>
    <t>510803</t>
  </si>
  <si>
    <t>510804</t>
  </si>
  <si>
    <t>DOTACIÓN Y SUMINISTRO A TRABAJADORES</t>
  </si>
  <si>
    <t>510807</t>
  </si>
  <si>
    <t>510810</t>
  </si>
  <si>
    <t>5111</t>
  </si>
  <si>
    <t>GENERALES</t>
  </si>
  <si>
    <t>511111</t>
  </si>
  <si>
    <t>COMISIONES, HONORARIOS Y SERVICIOS</t>
  </si>
  <si>
    <t>511112</t>
  </si>
  <si>
    <t>OBRAS Y MEJORAS EN PROPIEDAD AJENA</t>
  </si>
  <si>
    <t>511113</t>
  </si>
  <si>
    <t>VIGILANCIA Y SEGURIDAD</t>
  </si>
  <si>
    <t>511114</t>
  </si>
  <si>
    <t>MATERIALES Y SUMINISTROS</t>
  </si>
  <si>
    <t>511115</t>
  </si>
  <si>
    <t>MANTENIMIENTO</t>
  </si>
  <si>
    <t>511117</t>
  </si>
  <si>
    <t>511118</t>
  </si>
  <si>
    <t>ARRENDAMIENTO</t>
  </si>
  <si>
    <t>511119</t>
  </si>
  <si>
    <t>511120</t>
  </si>
  <si>
    <t>PUBLICIDAD Y PROPAGANDA</t>
  </si>
  <si>
    <t>511121</t>
  </si>
  <si>
    <t>IMPRESOS, PUBLICACIONES, SUSCRIPCIONES Y AFILIACIONES</t>
  </si>
  <si>
    <t>511122</t>
  </si>
  <si>
    <t>FOTOCOPIAS</t>
  </si>
  <si>
    <t>511125</t>
  </si>
  <si>
    <t>SEGUROS GENERALES</t>
  </si>
  <si>
    <t>511127</t>
  </si>
  <si>
    <t>PROMOCIÓN Y DIVULGACIÓN</t>
  </si>
  <si>
    <t>511133</t>
  </si>
  <si>
    <t>SEGURIDAD INDUSTRIAL</t>
  </si>
  <si>
    <t>511140</t>
  </si>
  <si>
    <t>CONTRATOS DE ADMINISTRACIÓN</t>
  </si>
  <si>
    <t>511149</t>
  </si>
  <si>
    <t>SERVICIOS DE ASEO, CAFETERÍA, RESTAURANTE Y LAVANDERÍA</t>
  </si>
  <si>
    <t>511155</t>
  </si>
  <si>
    <t>ELEMENTOS DE ASEO, LAVANDERÍA Y CAFETERÍA</t>
  </si>
  <si>
    <t>511163</t>
  </si>
  <si>
    <t>GTOS CONTRATOS DE APRENDIZAJE</t>
  </si>
  <si>
    <t>511164</t>
  </si>
  <si>
    <t>GASTOS LEGALES</t>
  </si>
  <si>
    <t>511166</t>
  </si>
  <si>
    <t>COSTAS PROCESALES</t>
  </si>
  <si>
    <t>511178</t>
  </si>
  <si>
    <t>511179</t>
  </si>
  <si>
    <t>511180</t>
  </si>
  <si>
    <t>5120</t>
  </si>
  <si>
    <t>IMPUESTOS, CONTRIBUCIONES Y TASAS</t>
  </si>
  <si>
    <t>512008</t>
  </si>
  <si>
    <t>SANCIONES</t>
  </si>
  <si>
    <t>512010</t>
  </si>
  <si>
    <t>IMPUESTO PREDIAL UNIFICADO</t>
  </si>
  <si>
    <t>512017</t>
  </si>
  <si>
    <t>INTERESES DE MORA</t>
  </si>
  <si>
    <t>512090</t>
  </si>
  <si>
    <t>OTROS IMPUESTOS</t>
  </si>
  <si>
    <t>53</t>
  </si>
  <si>
    <t>PROVISIONES, DEPRECIACIONES Y AMORTIZACIONES</t>
  </si>
  <si>
    <t>5304</t>
  </si>
  <si>
    <t xml:space="preserve">PROVISIÓN PARA DEUDORES </t>
  </si>
  <si>
    <t>530408</t>
  </si>
  <si>
    <t>5314</t>
  </si>
  <si>
    <t xml:space="preserve">PROVISIÓN PARA CONTINGENCIAS </t>
  </si>
  <si>
    <t>531401</t>
  </si>
  <si>
    <t>531402</t>
  </si>
  <si>
    <t>5317</t>
  </si>
  <si>
    <t>PROVISIONES DIVERSAS</t>
  </si>
  <si>
    <t>531790</t>
  </si>
  <si>
    <t>5330</t>
  </si>
  <si>
    <t>DEPRECIACIÓN DE PROPIEDADES, PLANTA Y EQUIPO</t>
  </si>
  <si>
    <t>533006</t>
  </si>
  <si>
    <t>533007</t>
  </si>
  <si>
    <t>EQUIPO DE COMUNICACIÓN Y COMPUTACIÓN</t>
  </si>
  <si>
    <t>533009</t>
  </si>
  <si>
    <t>5345</t>
  </si>
  <si>
    <t>AMORTIZACIÓN DE INTANGIBLES</t>
  </si>
  <si>
    <t>534506</t>
  </si>
  <si>
    <t>KNOW HOW</t>
  </si>
  <si>
    <t>534507</t>
  </si>
  <si>
    <t>LICENCIAS</t>
  </si>
  <si>
    <t>5347</t>
  </si>
  <si>
    <t>DETERIORO DE CUENTAS POR COBRAR</t>
  </si>
  <si>
    <t>534710</t>
  </si>
  <si>
    <t>534790</t>
  </si>
  <si>
    <t>5360</t>
  </si>
  <si>
    <t>536006</t>
  </si>
  <si>
    <t>536007</t>
  </si>
  <si>
    <t>536009</t>
  </si>
  <si>
    <t>5368</t>
  </si>
  <si>
    <t>PROVISIÓN LITIGIOS Y DEMANDAS</t>
  </si>
  <si>
    <t>536803</t>
  </si>
  <si>
    <t>5373</t>
  </si>
  <si>
    <t>537304</t>
  </si>
  <si>
    <t>OBLIGACIONES IMPLÍCITAS</t>
  </si>
  <si>
    <t>56</t>
  </si>
  <si>
    <t>DE ACTIVIDADES Y/O SERVICIOS ESPECIALIZADOS</t>
  </si>
  <si>
    <t>5613</t>
  </si>
  <si>
    <t xml:space="preserve">ADMINISTRACIÓN DE LA SEGURIDAD SOCIAL EN SALUD </t>
  </si>
  <si>
    <t>561301</t>
  </si>
  <si>
    <t>CONTRATOS DE CAPACITACIÓN- CONTRIBUTIVO</t>
  </si>
  <si>
    <t>561302</t>
  </si>
  <si>
    <t>CONTRATOS POR EVENTO Y OTRAS MODALIDADES- CONTRIBUTIVO</t>
  </si>
  <si>
    <t>561306</t>
  </si>
  <si>
    <t>INCAPACIDADES- CONTRIBUTIVO</t>
  </si>
  <si>
    <t>561307</t>
  </si>
  <si>
    <t>CONTRATOS DE CAPITACIÓN- SUBSIDIADO</t>
  </si>
  <si>
    <t>561308</t>
  </si>
  <si>
    <t>CONTRATOS POR EVENTO Y OTRAS MODALIDADES- SUBSISIADO</t>
  </si>
  <si>
    <t>561311</t>
  </si>
  <si>
    <t>LICENCIAS DE MATERNIDAD Y PATERNIDAD</t>
  </si>
  <si>
    <t>561318</t>
  </si>
  <si>
    <t>561320</t>
  </si>
  <si>
    <t>561321</t>
  </si>
  <si>
    <t>561322</t>
  </si>
  <si>
    <t>561390</t>
  </si>
  <si>
    <t>OTROS GASTOS POR LA ADMINISTRACIÓN DE LA SEGURIDAD SOCIAL EN SALUD</t>
  </si>
  <si>
    <t>58</t>
  </si>
  <si>
    <t>OTROS GASTOS</t>
  </si>
  <si>
    <t>5801</t>
  </si>
  <si>
    <t>INTERESES</t>
  </si>
  <si>
    <t>580139</t>
  </si>
  <si>
    <t>OPERACIONES DE FINANCIAMIENTO INTERNAS DE CORTO PLAZO</t>
  </si>
  <si>
    <t>5802</t>
  </si>
  <si>
    <t>580206</t>
  </si>
  <si>
    <t>ADQUISICIÓN DE BIENES Y SERVICIOS</t>
  </si>
  <si>
    <t>580238</t>
  </si>
  <si>
    <t>COMISIONES Y OTROS GASTOS BANCARIOS</t>
  </si>
  <si>
    <t>580240</t>
  </si>
  <si>
    <t>COMISIONES SERVICIOS FINANCIEROS</t>
  </si>
  <si>
    <t>5804</t>
  </si>
  <si>
    <t>580439</t>
  </si>
  <si>
    <t>580442</t>
  </si>
  <si>
    <t>INTERESES CRÉDITO DE REDESCUENTO</t>
  </si>
  <si>
    <t>5808</t>
  </si>
  <si>
    <t>OTROS GASTOS ORDINARIOS</t>
  </si>
  <si>
    <t>580801</t>
  </si>
  <si>
    <t>PERDIDA EN VENTA DE ACTIVOS</t>
  </si>
  <si>
    <t>580812</t>
  </si>
  <si>
    <t>SENTENCIAS</t>
  </si>
  <si>
    <t>580813</t>
  </si>
  <si>
    <t>LAUDOS ARBITRALES Y CONCILIACIONES EXTRAJUDICIALES</t>
  </si>
  <si>
    <t>5810</t>
  </si>
  <si>
    <t>581090</t>
  </si>
  <si>
    <t>OTROS GASTOS EXTRAORDINARIOS</t>
  </si>
  <si>
    <t>5815</t>
  </si>
  <si>
    <t>581593</t>
  </si>
  <si>
    <t>5890</t>
  </si>
  <si>
    <t>GASTOS DIVERSOS</t>
  </si>
  <si>
    <t>589019</t>
  </si>
  <si>
    <t>PÉRDIDA POR BAJA EN CUENTAS DE ACTIVOS NO FINANCIEROS</t>
  </si>
  <si>
    <t>589025</t>
  </si>
  <si>
    <t>MULTAS Y SANCIONES</t>
  </si>
  <si>
    <t>589026</t>
  </si>
  <si>
    <t>589090</t>
  </si>
  <si>
    <t>OTROS GASTOS DIVERSOS</t>
  </si>
  <si>
    <t>6</t>
  </si>
  <si>
    <t>TOTAL COSTOS</t>
  </si>
  <si>
    <t>6402</t>
  </si>
  <si>
    <t>640201</t>
  </si>
  <si>
    <t>CONTRATOS DE CAPITACIÓN - CONTRIBUTIVO</t>
  </si>
  <si>
    <t>640207</t>
  </si>
  <si>
    <t>640208</t>
  </si>
  <si>
    <t>640211</t>
  </si>
  <si>
    <t>REASEGURO ENFERMEDADES DE ALTO COSTO- SUBSIDIADO</t>
  </si>
  <si>
    <t>640218</t>
  </si>
  <si>
    <t>640220</t>
  </si>
  <si>
    <t>640222</t>
  </si>
  <si>
    <t>RESERVAS TECNICAS POR INCAPACIDADES</t>
  </si>
  <si>
    <t>640290</t>
  </si>
  <si>
    <t>OTROS COSTOS POR LA ADMINISTRACIÓN DE LA SEGURIDAD SOCIAL EN SALUD</t>
  </si>
  <si>
    <t>251116</t>
  </si>
  <si>
    <t>431119</t>
  </si>
  <si>
    <t>510806</t>
  </si>
  <si>
    <t>CONTRATOS DE PERSONAL TEMPORAL</t>
  </si>
  <si>
    <t>512024</t>
  </si>
  <si>
    <t>IMPUESTO GRAVAMEN MOVIMIENTO FINAN</t>
  </si>
  <si>
    <t xml:space="preserve"> TOTAL ACTIVOS</t>
  </si>
  <si>
    <t xml:space="preserve"> TOTAL INGRESO</t>
  </si>
  <si>
    <t xml:space="preserve"> TOTAL GASTOS</t>
  </si>
  <si>
    <t>2440</t>
  </si>
  <si>
    <t>IMPUESTOS CONTRIBUCIONES Y TASAS POR PAGAR</t>
  </si>
  <si>
    <t>2715</t>
  </si>
  <si>
    <t>PROVISIÓN PARA PRESTACIONES SOCIALES</t>
  </si>
  <si>
    <t>2905</t>
  </si>
  <si>
    <t xml:space="preserve">RECAUDOS A FAVOR DE TERCEROS </t>
  </si>
  <si>
    <t>5803</t>
  </si>
  <si>
    <t>AJUSTE POR DIFERENCIA EN CAMBIO</t>
  </si>
  <si>
    <t>Caja Menor</t>
  </si>
  <si>
    <t>Cuenta de ahorro</t>
  </si>
  <si>
    <t>111008</t>
  </si>
  <si>
    <t>Cuenta especial</t>
  </si>
  <si>
    <t>Certificados de Deposito a Termino Fijo</t>
  </si>
  <si>
    <t xml:space="preserve">Certificados de depósito a término </t>
  </si>
  <si>
    <t>141101</t>
  </si>
  <si>
    <t>Unidad de pago por Capitación régimen contributivo - UPC</t>
  </si>
  <si>
    <t>Unidad de pago por Capitación régimes sunsidiado - UPC</t>
  </si>
  <si>
    <t>141107</t>
  </si>
  <si>
    <t>Deudores Salud Copagos</t>
  </si>
  <si>
    <t>Recobro de enfermedades alto costo</t>
  </si>
  <si>
    <t>Cuentas por cobrar Fosyga pendientes de radicar</t>
  </si>
  <si>
    <t>Cuentas por cobrar Fosyga radicadas</t>
  </si>
  <si>
    <t>Cuentas por cobrar entidades territoriales pendientes de radicar</t>
  </si>
  <si>
    <t>Cuentas por cobrar entidades territoriales radicadas</t>
  </si>
  <si>
    <t>141120</t>
  </si>
  <si>
    <t>Otros ingresos por la administración del sistema de seguridad social en salud</t>
  </si>
  <si>
    <t>Anticipos Empleados</t>
  </si>
  <si>
    <t>Anticipo para adquisición de bienes y servicios</t>
  </si>
  <si>
    <t>Retención en la fuente</t>
  </si>
  <si>
    <t>Para Servicios</t>
  </si>
  <si>
    <t>Depositos Judiciales</t>
  </si>
  <si>
    <t>Otros intereses</t>
  </si>
  <si>
    <t>Otros deudores</t>
  </si>
  <si>
    <t>Administración del sistema de seguridad social en salud</t>
  </si>
  <si>
    <t>Muebles y enseres</t>
  </si>
  <si>
    <t>Equipo y máquina de oficina</t>
  </si>
  <si>
    <t>Equipo de comunicación</t>
  </si>
  <si>
    <t>Equipo de computación</t>
  </si>
  <si>
    <t>Equipo de restaurante y cafetería</t>
  </si>
  <si>
    <t>Muebles, enseres y equipo de oficina</t>
  </si>
  <si>
    <t>Equipos de comunicación y computación</t>
  </si>
  <si>
    <t>Equipos de comedor, cocina, despensa y hotelería</t>
  </si>
  <si>
    <t>Seguros</t>
  </si>
  <si>
    <t>Fiducia mercantil - Constitución de patrimonio autónomo</t>
  </si>
  <si>
    <t>Bienes y servicios</t>
  </si>
  <si>
    <t>Servicios públicos</t>
  </si>
  <si>
    <t>Arrendamientos</t>
  </si>
  <si>
    <t>Viáticos y gastos de viaje</t>
  </si>
  <si>
    <t>242510</t>
  </si>
  <si>
    <t>Aportes a fondos pensionales</t>
  </si>
  <si>
    <t>Aportes a seguridad social en salud</t>
  </si>
  <si>
    <t>Aportes al ICBF, SENA y cajas de compensación</t>
  </si>
  <si>
    <t>CXP Ret.Nomina Fondo de Empleados</t>
  </si>
  <si>
    <t>Embargos judiciales</t>
  </si>
  <si>
    <t>242530</t>
  </si>
  <si>
    <t>Gastos de Representación</t>
  </si>
  <si>
    <t>Aporte riesgos profesionales</t>
  </si>
  <si>
    <t>Libranzas</t>
  </si>
  <si>
    <t>242551</t>
  </si>
  <si>
    <t>Comisiones</t>
  </si>
  <si>
    <t>Honorarios</t>
  </si>
  <si>
    <t>Otros acreedores</t>
  </si>
  <si>
    <t>Compras</t>
  </si>
  <si>
    <t>A empleados art 383 ET</t>
  </si>
  <si>
    <t>Impuesto a las ventas retenido por consignar</t>
  </si>
  <si>
    <t>Retención de impuesto de industria y comercio por compras</t>
  </si>
  <si>
    <t>244024</t>
  </si>
  <si>
    <t>Tasas</t>
  </si>
  <si>
    <t>244026</t>
  </si>
  <si>
    <t>Sanciones</t>
  </si>
  <si>
    <t>Anticipos sobre ventas de bienes y servicios</t>
  </si>
  <si>
    <t>Cotizaciones</t>
  </si>
  <si>
    <t>247503</t>
  </si>
  <si>
    <t>Superavit por compensacion RC</t>
  </si>
  <si>
    <t>Rendimientos a declarar</t>
  </si>
  <si>
    <t>Nómina por pagar</t>
  </si>
  <si>
    <t>Cesantías</t>
  </si>
  <si>
    <t>Intereses sobre cesantías</t>
  </si>
  <si>
    <t>Vacaciones</t>
  </si>
  <si>
    <t>Obligaciones Laborales Prima de Servici</t>
  </si>
  <si>
    <t>Contratos de capitación- Contributivo</t>
  </si>
  <si>
    <t>Incapacidades - Contributivo</t>
  </si>
  <si>
    <t>Contratos de capitación - Subsidiado</t>
  </si>
  <si>
    <t>Contratos por eventos - Subsidiado</t>
  </si>
  <si>
    <t>Obligaciones por Servicios No POS</t>
  </si>
  <si>
    <t>Otros gastos de seguridad social en salud</t>
  </si>
  <si>
    <t>Litigios</t>
  </si>
  <si>
    <t>Obligaciones potenciales</t>
  </si>
  <si>
    <t>271501</t>
  </si>
  <si>
    <t>271502</t>
  </si>
  <si>
    <t>271503</t>
  </si>
  <si>
    <t>271504</t>
  </si>
  <si>
    <t>Prima de servicios</t>
  </si>
  <si>
    <t>Servicios Públicos</t>
  </si>
  <si>
    <r>
      <t>Reservas técni</t>
    </r>
    <r>
      <rPr>
        <sz val="9"/>
        <color indexed="8"/>
        <rFont val="Calibri"/>
        <family val="2"/>
      </rPr>
      <t>ca</t>
    </r>
    <r>
      <rPr>
        <sz val="9"/>
        <color indexed="63"/>
        <rFont val="Calibri"/>
        <family val="2"/>
      </rPr>
      <t>s por servicios de sa</t>
    </r>
    <r>
      <rPr>
        <sz val="9"/>
        <color indexed="8"/>
        <rFont val="Calibri"/>
        <family val="2"/>
      </rPr>
      <t>l</t>
    </r>
    <r>
      <rPr>
        <sz val="9"/>
        <color indexed="63"/>
        <rFont val="Calibri"/>
        <family val="2"/>
      </rPr>
      <t>ud autorizados</t>
    </r>
  </si>
  <si>
    <t>Reservas técnicas por servicios de salud ocurridos  no conocidos</t>
  </si>
  <si>
    <r>
      <t>Rese</t>
    </r>
    <r>
      <rPr>
        <sz val="9"/>
        <color indexed="8"/>
        <rFont val="Calibri"/>
        <family val="2"/>
      </rPr>
      <t>rv</t>
    </r>
    <r>
      <rPr>
        <sz val="9"/>
        <color indexed="63"/>
        <rFont val="Calibri"/>
        <family val="2"/>
      </rPr>
      <t>a</t>
    </r>
    <r>
      <rPr>
        <sz val="9"/>
        <color indexed="8"/>
        <rFont val="Calibri"/>
        <family val="2"/>
      </rPr>
      <t>s técnicas por in</t>
    </r>
    <r>
      <rPr>
        <sz val="9"/>
        <color indexed="63"/>
        <rFont val="Calibri"/>
        <family val="2"/>
      </rPr>
      <t>ca</t>
    </r>
    <r>
      <rPr>
        <sz val="9"/>
        <color indexed="8"/>
        <rFont val="Calibri"/>
        <family val="2"/>
      </rPr>
      <t>p</t>
    </r>
    <r>
      <rPr>
        <sz val="9"/>
        <color indexed="63"/>
        <rFont val="Calibri"/>
        <family val="2"/>
      </rPr>
      <t>acidades</t>
    </r>
  </si>
  <si>
    <t>290590</t>
  </si>
  <si>
    <t xml:space="preserve">Otros recaudos a favor de terceros </t>
  </si>
  <si>
    <t>Capital autorizado</t>
  </si>
  <si>
    <t>320403</t>
  </si>
  <si>
    <t>Capital suscrito por cobrar (Db)</t>
  </si>
  <si>
    <t>Pérdida o déficit acumulados</t>
  </si>
  <si>
    <t>Unidad de pago por capitación régimen contributivo- UPC</t>
  </si>
  <si>
    <t>Unidad de pago por Capitación régimen subsidiado- UPC</t>
  </si>
  <si>
    <t>Copagos régimen subsidiado</t>
  </si>
  <si>
    <t>Intereses sobre depósitos en instituciones financieras</t>
  </si>
  <si>
    <t>Rendimientos sobre recursos entregados en administración</t>
  </si>
  <si>
    <t>Otros ingresos financieros</t>
  </si>
  <si>
    <t>Utilidad en venta de activos</t>
  </si>
  <si>
    <t>480809</t>
  </si>
  <si>
    <t>Excedentes financieros</t>
  </si>
  <si>
    <t>Recuperaciones</t>
  </si>
  <si>
    <t>Aprovechamientos</t>
  </si>
  <si>
    <t>Otros ingresos</t>
  </si>
  <si>
    <t>Sueldos del personal</t>
  </si>
  <si>
    <t>Horas extras y festivos</t>
  </si>
  <si>
    <t>Gastos de representación</t>
  </si>
  <si>
    <t>Remuneración servicios técnicos</t>
  </si>
  <si>
    <t>Auxilio de transporte</t>
  </si>
  <si>
    <t>Intereses a las cesantías</t>
  </si>
  <si>
    <t>Capacitación, bienestar social y estímulos</t>
  </si>
  <si>
    <t>Gtos Personal Vestido y Calzado de Labo</t>
  </si>
  <si>
    <t>Salario integral</t>
  </si>
  <si>
    <t>Viáticos</t>
  </si>
  <si>
    <t>Gastos de viaje</t>
  </si>
  <si>
    <t>Indemnizaciones</t>
  </si>
  <si>
    <t>Aportes a cajas de compensación familiar</t>
  </si>
  <si>
    <t>Cotizaciones a seguridad social en salud</t>
  </si>
  <si>
    <t>Cotizaciones a riesgos profesionales</t>
  </si>
  <si>
    <t>Cotizaciones a entidades administradoras del régimen de prima media</t>
  </si>
  <si>
    <t>Cotizaciones a entidades administradoras del régimen de ahorro individual</t>
  </si>
  <si>
    <t>Aportes al ICBF</t>
  </si>
  <si>
    <t>Aportes al SENA</t>
  </si>
  <si>
    <t>Comisiones, honorarios y servicios</t>
  </si>
  <si>
    <t>Obras y Mejoras en Propiedad Ajena</t>
  </si>
  <si>
    <t>Vigilancia y Seguridad</t>
  </si>
  <si>
    <t>Materiales y suministros</t>
  </si>
  <si>
    <t>Mantenimiento</t>
  </si>
  <si>
    <t>Arrendamiento</t>
  </si>
  <si>
    <t>Publicidad y propaganda</t>
  </si>
  <si>
    <t>Impresos, publicaciones, suscripciones y afiliaciones</t>
  </si>
  <si>
    <t>Fotocopias</t>
  </si>
  <si>
    <t>Seguros generales</t>
  </si>
  <si>
    <t>Promoción y divulgación</t>
  </si>
  <si>
    <t>Seguridad industrial</t>
  </si>
  <si>
    <t>Contratos de administración</t>
  </si>
  <si>
    <t>Servicios de aseo, cafetería, restaurante y lavandería</t>
  </si>
  <si>
    <t>Elementos de aseo, lavandería y cafetería</t>
  </si>
  <si>
    <t>Gtos Contratos de Aprendizaje</t>
  </si>
  <si>
    <t>Gastos legales</t>
  </si>
  <si>
    <t>Costas Procesales</t>
  </si>
  <si>
    <t>Impuesto predial unificado</t>
  </si>
  <si>
    <t>Intereses de Mora</t>
  </si>
  <si>
    <t>Otros impuestos</t>
  </si>
  <si>
    <t>533005</t>
  </si>
  <si>
    <t>Equipo médico y científico</t>
  </si>
  <si>
    <t>Equipo de comunicación y computación</t>
  </si>
  <si>
    <t>Know how</t>
  </si>
  <si>
    <t>Licencias</t>
  </si>
  <si>
    <t>Operaciones de financiamiento internas de corto plazo</t>
  </si>
  <si>
    <t>Comisiones y otros gastos bancarios</t>
  </si>
  <si>
    <t>580390</t>
  </si>
  <si>
    <t>Otros ajustes por diferencia en cambio</t>
  </si>
  <si>
    <t>Perdida en Venta de Activos</t>
  </si>
  <si>
    <t>Sentencias</t>
  </si>
  <si>
    <t>Laudos arbitrales y conciliaciones extrajudiciales</t>
  </si>
  <si>
    <t>Otros gastos extraordinarios</t>
  </si>
  <si>
    <t>581590</t>
  </si>
  <si>
    <t>Provisiones, depreciaciones y amortizaciones</t>
  </si>
  <si>
    <t>Otros gastos</t>
  </si>
  <si>
    <t>640206</t>
  </si>
  <si>
    <t>INCAPACIDADES CONTRIBUTIVO</t>
  </si>
  <si>
    <t>Licencias de Maternidad y Paternidad</t>
  </si>
  <si>
    <r>
      <t>R</t>
    </r>
    <r>
      <rPr>
        <sz val="9"/>
        <color indexed="63"/>
        <rFont val="Calibri"/>
        <family val="2"/>
      </rPr>
      <t>eser</t>
    </r>
    <r>
      <rPr>
        <sz val="9"/>
        <color indexed="8"/>
        <rFont val="Calibri"/>
        <family val="2"/>
      </rPr>
      <t>v</t>
    </r>
    <r>
      <rPr>
        <sz val="9"/>
        <color indexed="63"/>
        <rFont val="Calibri"/>
        <family val="2"/>
      </rPr>
      <t>a</t>
    </r>
    <r>
      <rPr>
        <sz val="9"/>
        <color indexed="8"/>
        <rFont val="Calibri"/>
        <family val="2"/>
      </rPr>
      <t>s técnicas por se</t>
    </r>
    <r>
      <rPr>
        <sz val="9"/>
        <color indexed="63"/>
        <rFont val="Calibri"/>
        <family val="2"/>
      </rPr>
      <t>r</t>
    </r>
    <r>
      <rPr>
        <sz val="9"/>
        <color indexed="8"/>
        <rFont val="Calibri"/>
        <family val="2"/>
      </rPr>
      <t>v</t>
    </r>
    <r>
      <rPr>
        <sz val="9"/>
        <color indexed="63"/>
        <rFont val="Calibri"/>
        <family val="2"/>
      </rPr>
      <t>icios de salud autorizados</t>
    </r>
  </si>
  <si>
    <t>640221</t>
  </si>
  <si>
    <t>CHECK</t>
  </si>
  <si>
    <t>Obligaciones Potenciales</t>
  </si>
  <si>
    <t>OTROS COSTOS POR LA ADMINISTRACION DE LA SEGURIDAD SOCIAL</t>
  </si>
  <si>
    <t>Check</t>
  </si>
  <si>
    <t>IVERSIONES E INSTRUMENTOS DERIVADOS</t>
  </si>
  <si>
    <t>PRESTAMOS POR PAGAR</t>
  </si>
  <si>
    <t>Superávit compen R.C</t>
  </si>
  <si>
    <t>Reserva tecnica por servicios de salud autorizados</t>
  </si>
  <si>
    <t>Reserva Tecnica por Servicios de Salud ocurridos no conocidos</t>
  </si>
  <si>
    <t>Reserva Tecnica por Incapacidades</t>
  </si>
  <si>
    <t>INGRESOS DIVERSOS</t>
  </si>
  <si>
    <t>Obras y mejoras en propiedad ajena</t>
  </si>
  <si>
    <t>Costas procesales</t>
  </si>
  <si>
    <t>59</t>
  </si>
  <si>
    <t>CIERRE DE INGRESOS, GASTOS Y COSTOS</t>
  </si>
  <si>
    <t>1133</t>
  </si>
  <si>
    <t>EQUIVALENTES AL EFECTIVO</t>
  </si>
  <si>
    <t>1385</t>
  </si>
  <si>
    <t>CUENTAS POR COBRAR DE DIFÍCIL RECAUDO</t>
  </si>
  <si>
    <t>4806</t>
  </si>
  <si>
    <t>5905</t>
  </si>
  <si>
    <t>110501</t>
  </si>
  <si>
    <t>Caja Principal</t>
  </si>
  <si>
    <t>113301</t>
  </si>
  <si>
    <t xml:space="preserve">Certificados de depósito a ahorro a término </t>
  </si>
  <si>
    <t>132201</t>
  </si>
  <si>
    <t>Unidad de pago por Capitación (UPC) régimen contributivo</t>
  </si>
  <si>
    <t>Unidad de pago por Capitación (UPC) régimen subsidiado</t>
  </si>
  <si>
    <t>Cuentas por cobrar NO POS pendientes de radicar</t>
  </si>
  <si>
    <t>Cuentas por cobrar NO POS radicadas</t>
  </si>
  <si>
    <t>132220</t>
  </si>
  <si>
    <t>Saldo a favor en proceso de compensación régimen contributivo</t>
  </si>
  <si>
    <t>138436</t>
  </si>
  <si>
    <t>Otros intereses por cobrar</t>
  </si>
  <si>
    <t>Otros cuentas por cobrar</t>
  </si>
  <si>
    <t>138510</t>
  </si>
  <si>
    <t>Otras cuentas por cobrar</t>
  </si>
  <si>
    <t>Avances para viáticos y gastos de viaje</t>
  </si>
  <si>
    <t>Plusvalía</t>
  </si>
  <si>
    <t>197006</t>
  </si>
  <si>
    <t>197007</t>
  </si>
  <si>
    <t>Prestamos de Otras Entidades</t>
  </si>
  <si>
    <t>Fondo de Empleados</t>
  </si>
  <si>
    <t>Contratos de Medicina Prepagada</t>
  </si>
  <si>
    <t>Cuenta de ahorro para el fomento de la construcción (AFC)</t>
  </si>
  <si>
    <t>243616</t>
  </si>
  <si>
    <t>A empleados artículo 384 ET</t>
  </si>
  <si>
    <t>Otros ingresos al sistema</t>
  </si>
  <si>
    <t>Contratos por evento y otras modalidades - Contributivo</t>
  </si>
  <si>
    <t>Contratos por eventos y otras modalidades - Subsidiado</t>
  </si>
  <si>
    <t>Recursos de Acreedores reintegrados por entidades públicas</t>
  </si>
  <si>
    <t>249031</t>
  </si>
  <si>
    <t>Gastos Legales</t>
  </si>
  <si>
    <t>Servicios financieros</t>
  </si>
  <si>
    <t>Aportes al ICBF y SENA</t>
  </si>
  <si>
    <t>249053</t>
  </si>
  <si>
    <t>Arrendamiento Operativo</t>
  </si>
  <si>
    <t>Aporte riesgos laborales</t>
  </si>
  <si>
    <t>Aportes a fondos pensionales -empleador</t>
  </si>
  <si>
    <t>Aportes a seguridad social en salud -empleador</t>
  </si>
  <si>
    <t>Administrativos</t>
  </si>
  <si>
    <t>Capital x Suscribir</t>
  </si>
  <si>
    <t>Cuentas por cobrar</t>
  </si>
  <si>
    <t>Activos intangibles</t>
  </si>
  <si>
    <t>Otros activos</t>
  </si>
  <si>
    <t>Copagos régimen contributivo</t>
  </si>
  <si>
    <t>480225</t>
  </si>
  <si>
    <t>Ganancia por derechos en Fideicomiso</t>
  </si>
  <si>
    <t>Ganancia por medicion inicial de cuenta</t>
  </si>
  <si>
    <t>480690</t>
  </si>
  <si>
    <t>Otros ingresos diversos</t>
  </si>
  <si>
    <t>Remuneración por servicios técnicos</t>
  </si>
  <si>
    <t>Dotación y suministro a trabajadores</t>
  </si>
  <si>
    <t>Obligaciones implícitas</t>
  </si>
  <si>
    <t>Contratos de Capacitación- Contributivo</t>
  </si>
  <si>
    <t>Contratos por evento y otras modalidades- Contributivo</t>
  </si>
  <si>
    <t>Incapacidades- Contributivo</t>
  </si>
  <si>
    <t>Contratos de Capitación- Subsidiado</t>
  </si>
  <si>
    <t>Contratos por evento y otras modalidades- Subsisiado</t>
  </si>
  <si>
    <t>Reservas técnicas por incapacidades</t>
  </si>
  <si>
    <t>Otros gastos por la administración de la seguridad social en salud</t>
  </si>
  <si>
    <t>Adquisición de Bienes y Servicios</t>
  </si>
  <si>
    <t>Comisiones servicios financieros</t>
  </si>
  <si>
    <t>Intereses crédito de redescuento</t>
  </si>
  <si>
    <t>Pérdida por baja en cuentas de activos no financieros</t>
  </si>
  <si>
    <t>Multas y Sanciones</t>
  </si>
  <si>
    <t>Servicios Financieros</t>
  </si>
  <si>
    <t>Otros gastos diversos</t>
  </si>
  <si>
    <t>590501</t>
  </si>
  <si>
    <t>Cierre de ingresos, gastos y costos</t>
  </si>
  <si>
    <r>
      <t>R</t>
    </r>
    <r>
      <rPr>
        <sz val="9"/>
        <color indexed="63"/>
        <rFont val="Arial"/>
        <family val="2"/>
      </rPr>
      <t>eser</t>
    </r>
    <r>
      <rPr>
        <sz val="9"/>
        <color indexed="8"/>
        <rFont val="Arial"/>
        <family val="2"/>
      </rPr>
      <t>v</t>
    </r>
    <r>
      <rPr>
        <sz val="9"/>
        <color indexed="63"/>
        <rFont val="Arial"/>
        <family val="2"/>
      </rPr>
      <t>a</t>
    </r>
    <r>
      <rPr>
        <sz val="9"/>
        <color indexed="8"/>
        <rFont val="Arial"/>
        <family val="2"/>
      </rPr>
      <t>s técnicas por se</t>
    </r>
    <r>
      <rPr>
        <sz val="9"/>
        <color indexed="63"/>
        <rFont val="Arial"/>
        <family val="2"/>
      </rPr>
      <t>r</t>
    </r>
    <r>
      <rPr>
        <sz val="9"/>
        <color indexed="8"/>
        <rFont val="Arial"/>
        <family val="2"/>
      </rPr>
      <t>v</t>
    </r>
    <r>
      <rPr>
        <sz val="9"/>
        <color indexed="63"/>
        <rFont val="Arial"/>
        <family val="2"/>
      </rPr>
      <t>icios de salud autorizados</t>
    </r>
  </si>
  <si>
    <t>249028</t>
  </si>
  <si>
    <t>Licencias de maternidad y paternidad</t>
  </si>
  <si>
    <t>Contratos de Personal Temporal</t>
  </si>
  <si>
    <t>Impuesto Gravamen Movimiento Finan</t>
  </si>
  <si>
    <t>Cálculo de la tasa de descuento</t>
  </si>
  <si>
    <t>I1. Prima de riesgo</t>
  </si>
  <si>
    <t>S&amp;P 500 (Rm)</t>
  </si>
  <si>
    <t>T - Bonds 10y (Rf)</t>
  </si>
  <si>
    <t>Fuente: http://pages.stern.nyu.edu/~adamodar/New_Home_Page/datafile/histretSP.html enero de 2017</t>
  </si>
  <si>
    <t>I2. Beta</t>
  </si>
  <si>
    <t>Segmento</t>
  </si>
  <si>
    <t>Firmas</t>
  </si>
  <si>
    <t>Average Beta</t>
  </si>
  <si>
    <t>Market D/E Ratio</t>
  </si>
  <si>
    <t>Tax Rate</t>
  </si>
  <si>
    <t>Unlevered Beta</t>
  </si>
  <si>
    <t>Fuente: http://pages.stern.nyu.edu/~adamodar/New_Home_Page/datafile/Betas.html</t>
  </si>
  <si>
    <t>Data used is as of January 2017</t>
  </si>
  <si>
    <t>I3. Riesgo país (EMBI)</t>
  </si>
  <si>
    <t>Fecha</t>
  </si>
  <si>
    <t>Colombia</t>
  </si>
  <si>
    <t>Promedio aritmético</t>
  </si>
  <si>
    <t>Promedio acotado calificación</t>
  </si>
  <si>
    <t>Fuente: Bloomberg corte Enero 2016 y http://www.ambito.com/economia/mercados/riesgo-pais/info/?id=4</t>
  </si>
  <si>
    <t>I4. Tasa de descuento</t>
  </si>
  <si>
    <t>Rf (Bonos USD 10y)</t>
  </si>
  <si>
    <t xml:space="preserve">  Fuente: Bloomberg</t>
  </si>
  <si>
    <t>Rm (Prima Rm - Rf)</t>
  </si>
  <si>
    <t>Riesgo país (EMBI Colombia)</t>
  </si>
  <si>
    <t>Beta apalancado</t>
  </si>
  <si>
    <t xml:space="preserve">  Fuente: Cálculo</t>
  </si>
  <si>
    <t>Beta desapalancado</t>
  </si>
  <si>
    <t>D / E</t>
  </si>
  <si>
    <t>D / A</t>
  </si>
  <si>
    <t>E / A</t>
  </si>
  <si>
    <t>Tasa efectiva de tributación</t>
  </si>
  <si>
    <t xml:space="preserve">  Fuente: Ley 1819 de 2016. </t>
  </si>
  <si>
    <t>Paridad cambiaria</t>
  </si>
  <si>
    <t>Inflación largo plazo Colombia</t>
  </si>
  <si>
    <t xml:space="preserve">  Fuente: Banco de la República http://www.banrep.gov.co/es/politica-monetaria</t>
  </si>
  <si>
    <t>Inflación largo plazo EEUU</t>
  </si>
  <si>
    <t xml:space="preserve">  Fuente: Federal Reserve Bank of Philadelphia https://www.philadelphiafed.org/research-and-data/real-time-center/survey-of-professional-forecasters/historical-data/inflation-forecasts</t>
  </si>
  <si>
    <t>Ajuste por tamaño</t>
  </si>
  <si>
    <t xml:space="preserve">  Fuente: Estimación propia</t>
  </si>
  <si>
    <t>Costo del Equity</t>
  </si>
  <si>
    <t>Mining services</t>
  </si>
  <si>
    <t>Costo deuda</t>
  </si>
  <si>
    <t>Costo deuda con escudo fiscal</t>
  </si>
  <si>
    <t>WACC sin escudo fiscal</t>
  </si>
  <si>
    <t>WACC con escudo fiscal</t>
  </si>
  <si>
    <t>Ingreso</t>
  </si>
  <si>
    <t>(Datos en azul se pueden cambiar)</t>
  </si>
  <si>
    <t>SAVIA SAS</t>
  </si>
  <si>
    <t>EPIGRAFE</t>
  </si>
  <si>
    <t>AC_CAJA</t>
  </si>
  <si>
    <t>AC_INVERSION</t>
  </si>
  <si>
    <t>AC_CXC_ETPR</t>
  </si>
  <si>
    <t>AC_CXC_ETR</t>
  </si>
  <si>
    <t>AC_CXC_NPPR</t>
  </si>
  <si>
    <t>AC_CXC_NPR</t>
  </si>
  <si>
    <t>AC_CXC_RCAC</t>
  </si>
  <si>
    <t>AC_CXC_OIASSS</t>
  </si>
  <si>
    <t>AC_CXC_OTROS</t>
  </si>
  <si>
    <t>AC_CXC_PROV</t>
  </si>
  <si>
    <t>AC_FX_BRT</t>
  </si>
  <si>
    <t>AC_FX_DEP</t>
  </si>
  <si>
    <t>AC_OA_ANT</t>
  </si>
  <si>
    <t>AC_OA_INTANG</t>
  </si>
  <si>
    <t>PS_DEBFIN</t>
  </si>
  <si>
    <t>PS_PROVED</t>
  </si>
  <si>
    <t>PS_LABORAL</t>
  </si>
  <si>
    <t>PS_COSTOMED</t>
  </si>
  <si>
    <t>PS_TXYRET</t>
  </si>
  <si>
    <t>PS_ANTICI</t>
  </si>
  <si>
    <t>PS_RESTEC</t>
  </si>
  <si>
    <t>PS_RESOTR</t>
  </si>
  <si>
    <t>PT_CAPITAL</t>
  </si>
  <si>
    <t>PT_RESANT</t>
  </si>
  <si>
    <t>PT_IMP_TRA</t>
  </si>
  <si>
    <t>ING_UPC_CONT</t>
  </si>
  <si>
    <t>ING_UPC_SUB</t>
  </si>
  <si>
    <t>ING_COP_CONT</t>
  </si>
  <si>
    <t>ING_COP_SUB</t>
  </si>
  <si>
    <t>ING_RECOBOR</t>
  </si>
  <si>
    <t>ING_INC</t>
  </si>
  <si>
    <t>ING_OTROP</t>
  </si>
  <si>
    <t>ING_FIN</t>
  </si>
  <si>
    <t>ING_RECUPER</t>
  </si>
  <si>
    <t>GT_NOMINA</t>
  </si>
  <si>
    <t>GT_COMISIONES</t>
  </si>
  <si>
    <t>GT_MANTEN</t>
  </si>
  <si>
    <t>GT_VIGYASEO</t>
  </si>
  <si>
    <t>GT_ARRIENDO</t>
  </si>
  <si>
    <t>GT_PUBLICI</t>
  </si>
  <si>
    <t>GT_OFICINA</t>
  </si>
  <si>
    <t>GT_SEGUROS</t>
  </si>
  <si>
    <t>GT_SERPUBLIC</t>
  </si>
  <si>
    <t>GT_OTRO</t>
  </si>
  <si>
    <t>GT_PREDIAL</t>
  </si>
  <si>
    <t>GT_SANCIONES</t>
  </si>
  <si>
    <t>GT_DEPREC</t>
  </si>
  <si>
    <t>GT_AMORT</t>
  </si>
  <si>
    <t>GT_PROVIS</t>
  </si>
  <si>
    <t>CM_SALUD</t>
  </si>
  <si>
    <t>CM_RESERV</t>
  </si>
  <si>
    <t>GT_OT_BAN</t>
  </si>
  <si>
    <t>GT_OT_INT</t>
  </si>
  <si>
    <t>GT_OT_RECUP</t>
  </si>
  <si>
    <t>ENTIDAD TERRITORIAL PENDIENTE</t>
  </si>
  <si>
    <t>ENTIDAD TERRITORIAL RADICADO</t>
  </si>
  <si>
    <t>NO POS PENDIENTE</t>
  </si>
  <si>
    <t>NO POS RADICADO</t>
  </si>
  <si>
    <t>OTROS INGRESOS ADMO. SALUD</t>
  </si>
  <si>
    <t>RECOBRO ALTO COSTO</t>
  </si>
  <si>
    <t>PROVISIONES CARTERA</t>
  </si>
  <si>
    <t>BRUTOS</t>
  </si>
  <si>
    <t>DEPRECIACION</t>
  </si>
  <si>
    <t>AC_OA_DEPOS</t>
  </si>
  <si>
    <t>ANTICIPOS</t>
  </si>
  <si>
    <t>DEPÓSITOS</t>
  </si>
  <si>
    <t>INVERSIONES</t>
  </si>
  <si>
    <t>COSTO MEDICO</t>
  </si>
  <si>
    <t>RESERVAS TÉCNICAS</t>
  </si>
  <si>
    <t>OTRAS RESERVAS</t>
  </si>
  <si>
    <t>DEUDA FINANCIERA</t>
  </si>
  <si>
    <t>LABORALES</t>
  </si>
  <si>
    <t>PROVEEDORES</t>
  </si>
  <si>
    <t>IMPUESTOS</t>
  </si>
  <si>
    <t>CAPITAL</t>
  </si>
  <si>
    <t>RESULTADOS ACUMULADOS</t>
  </si>
  <si>
    <t>RESULTADOS DEL EJERCICIO</t>
  </si>
  <si>
    <t>IMPACTO TRANSITORIO</t>
  </si>
  <si>
    <t>PATRIMONIO</t>
  </si>
  <si>
    <t>PASIVOS DEL COSTO MEDICO</t>
  </si>
  <si>
    <t>PASIVOS OPERACIONALES</t>
  </si>
  <si>
    <t>ACTIVOS FIJOS</t>
  </si>
  <si>
    <t>LIQUIDEZ</t>
  </si>
  <si>
    <t>COPAGOS CONTRIBUTIVOS</t>
  </si>
  <si>
    <t>COPAGOS SUBSIDIADOS</t>
  </si>
  <si>
    <t>CONTRIBUTIVOS</t>
  </si>
  <si>
    <t>SUBSIDIADOS</t>
  </si>
  <si>
    <t>OTROS INGRESOS OPERACIONALES</t>
  </si>
  <si>
    <t>INGRESOS OPERACIONALES</t>
  </si>
  <si>
    <t>COSTO MÉDICO</t>
  </si>
  <si>
    <t>RECOBROS</t>
  </si>
  <si>
    <t>GT_OTROSEXT</t>
  </si>
  <si>
    <t>GASTOS OPERACIONALES</t>
  </si>
  <si>
    <t>NOMINA</t>
  </si>
  <si>
    <t>ARRIENDO</t>
  </si>
  <si>
    <t>OFICINA</t>
  </si>
  <si>
    <t>PREDIAL</t>
  </si>
  <si>
    <t>PUBLICIDAD</t>
  </si>
  <si>
    <t>VIGILANCIA Y ASEO</t>
  </si>
  <si>
    <t>OTROS OPERACIONALES</t>
  </si>
  <si>
    <t>AMORTIZACIONES</t>
  </si>
  <si>
    <t>DEPRECIACIONES</t>
  </si>
  <si>
    <t>PROVISIONES</t>
  </si>
  <si>
    <t>BANCARIOS</t>
  </si>
  <si>
    <t>ACTIVOS</t>
  </si>
  <si>
    <t>PASIVOS</t>
  </si>
  <si>
    <t>BALANCE GENERAL</t>
  </si>
  <si>
    <t>ESTADO DE RESULTADOS</t>
  </si>
  <si>
    <t>2015</t>
  </si>
  <si>
    <t>2016</t>
  </si>
  <si>
    <t>2017</t>
  </si>
  <si>
    <t>2018 P</t>
  </si>
  <si>
    <t>2019 P</t>
  </si>
  <si>
    <t>2020 P</t>
  </si>
  <si>
    <t>2021 P</t>
  </si>
  <si>
    <t>2022 P</t>
  </si>
  <si>
    <t>2023 P</t>
  </si>
  <si>
    <t>2024 P</t>
  </si>
  <si>
    <t>RESULTADO BRUTO</t>
  </si>
  <si>
    <t>MARGEN BRUTO</t>
  </si>
  <si>
    <t>/VENTA</t>
  </si>
  <si>
    <t>RESULTADO OPERACIONAL</t>
  </si>
  <si>
    <t>RESULTADO ANTES DE IMPUESTOS</t>
  </si>
  <si>
    <t>CUADRE DEL ACTIVO</t>
  </si>
  <si>
    <t>CUADRE DEL PASIVO</t>
  </si>
  <si>
    <t>CUADRE DEL INGRESO</t>
  </si>
  <si>
    <t>CUADRE DEL EGRESO</t>
  </si>
  <si>
    <t>CUADRE GENERAL</t>
  </si>
  <si>
    <t>DESCUADRE</t>
  </si>
  <si>
    <t>CUENTAS POR COBRAR SALUD</t>
  </si>
  <si>
    <t>ROTACION DE CARTERA</t>
  </si>
  <si>
    <t>DIAS</t>
  </si>
  <si>
    <t>Rotación Cartera</t>
  </si>
  <si>
    <t>0. ANALISIS VS BASES</t>
  </si>
  <si>
    <t>1. INGRESOS</t>
  </si>
  <si>
    <t>2. COSTO MEDICO</t>
  </si>
  <si>
    <t>3. GASTOS OPERACIONALES</t>
  </si>
  <si>
    <t>0. MACROECONOMICOS</t>
  </si>
  <si>
    <t>VARIACION IPC</t>
  </si>
  <si>
    <t>VARIACIÓN SMMLV</t>
  </si>
  <si>
    <t>VARIACIÓN DEL INGRESO</t>
  </si>
  <si>
    <t>4. CAPITAL DE TRABAJO CARTERA</t>
  </si>
  <si>
    <t>5. CAPITAL DE TRABAJO COSTO MÉDICO</t>
  </si>
  <si>
    <t>ROTACIÓN DE PASIVO COSTO M.</t>
  </si>
  <si>
    <t>Rotación pasivo costo médico</t>
  </si>
  <si>
    <t>CORRIENTE</t>
  </si>
  <si>
    <t>6. PASIVOS OPERACIONALES</t>
  </si>
  <si>
    <t>DIAS NOMINA</t>
  </si>
  <si>
    <t>DIAS PROVE</t>
  </si>
  <si>
    <t>DIAS VTAS</t>
  </si>
  <si>
    <t>7. ACTIVOS OPERACIONALES</t>
  </si>
  <si>
    <t>8. CAPEX</t>
  </si>
  <si>
    <t>LEGACY</t>
  </si>
  <si>
    <t>NUEVOS</t>
  </si>
  <si>
    <t>GASTO DEPRECIACION</t>
  </si>
  <si>
    <t>INVERSIÓN / VENTAS</t>
  </si>
  <si>
    <t>CAPEX</t>
  </si>
  <si>
    <t>PERIODO DEPRECIACIÓN</t>
  </si>
  <si>
    <t>AÑOS</t>
  </si>
  <si>
    <t>/VENTAS</t>
  </si>
  <si>
    <t>CONSOLIDADO</t>
  </si>
  <si>
    <t>DEPRECIACION ACUMULADA</t>
  </si>
  <si>
    <t>10. INTERESES</t>
  </si>
  <si>
    <t>INTERESES FINANCIEROS</t>
  </si>
  <si>
    <t>TASA</t>
  </si>
  <si>
    <t>MASA PROMEDIO</t>
  </si>
  <si>
    <t>INTERESES IDEA</t>
  </si>
  <si>
    <t>9. GASTOS NO OPERACIONALES</t>
  </si>
  <si>
    <t>INGRESOS RECUPERACIONES/VENTAn-1</t>
  </si>
  <si>
    <t>INGRESOS RECUPERACIONES</t>
  </si>
  <si>
    <t>IMPUESTO DE RENTA</t>
  </si>
  <si>
    <t>RESULTADO FINAL</t>
  </si>
  <si>
    <t>MARGEN NETO</t>
  </si>
  <si>
    <t>TASA IMPUESTO DE RENTA ET AL</t>
  </si>
  <si>
    <t>INGRESO FINANCIERO / VENTAS</t>
  </si>
  <si>
    <t>INGRESO FINANCIERO</t>
  </si>
  <si>
    <t xml:space="preserve">FLUJO DE CAJA </t>
  </si>
  <si>
    <t>ORIGINAL</t>
  </si>
  <si>
    <t>CAPITALIZACIÓN</t>
  </si>
  <si>
    <t>EBITDA</t>
  </si>
  <si>
    <t>MARGEN EBITDA</t>
  </si>
  <si>
    <t>VARIACIÓN CAPITAL DE TRABAJO ACTIVO</t>
  </si>
  <si>
    <t>VARIACIÓN CAPITAL DE TRABAJO PASIVO</t>
  </si>
  <si>
    <t>FLUJO DE CAJA LIBRE</t>
  </si>
  <si>
    <t>VARIACIÓN DE LA DEUDA</t>
  </si>
  <si>
    <t>CAJA DE LA OPERACIÓN</t>
  </si>
  <si>
    <t>CAJA INICIAL</t>
  </si>
  <si>
    <t>CAJA FINAL</t>
  </si>
  <si>
    <t>FECHA</t>
  </si>
  <si>
    <t>CIFRAS EN PESOS COLOMBIANOS</t>
  </si>
  <si>
    <t>Municipio</t>
  </si>
  <si>
    <t>TIPO</t>
  </si>
  <si>
    <t>Total Afiliados</t>
  </si>
  <si>
    <t xml:space="preserve">Ingreso </t>
  </si>
  <si>
    <t>MEDELLÍN</t>
  </si>
  <si>
    <t>Piloto</t>
  </si>
  <si>
    <t>ABEJORRAL</t>
  </si>
  <si>
    <t>Básica</t>
  </si>
  <si>
    <t>ABRIAQUÍ</t>
  </si>
  <si>
    <t>ALEJANDRÍA</t>
  </si>
  <si>
    <t>AMAGÁ</t>
  </si>
  <si>
    <t>AMALFI</t>
  </si>
  <si>
    <t>ANDES</t>
  </si>
  <si>
    <t>ANGOSTURA</t>
  </si>
  <si>
    <t>ANORÍ</t>
  </si>
  <si>
    <t>SANTA FÉ DE ANTIOQUIA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</si>
  <si>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</si>
  <si>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</si>
  <si>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</si>
  <si>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</si>
  <si>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</si>
  <si>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</si>
  <si>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</si>
  <si>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</si>
  <si>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</si>
  <si>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</si>
  <si>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</si>
  <si>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</si>
  <si>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</si>
  <si>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</si>
  <si>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</si>
  <si>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</si>
  <si>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</si>
  <si>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</si>
  <si>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</si>
  <si>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</si>
  <si>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</si>
  <si>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</si>
  <si>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</si>
  <si>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</si>
  <si>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</si>
  <si>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</si>
  <si>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</si>
  <si>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</si>
  <si>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</si>
  <si>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</si>
  <si>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</si>
  <si>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</si>
  <si>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</si>
  <si>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</si>
  <si>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</si>
  <si>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</si>
  <si>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</si>
  <si>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</si>
  <si>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</si>
  <si>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</si>
  <si>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</si>
  <si>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</si>
  <si>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</si>
  <si>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</si>
  <si>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</si>
  <si>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</si>
  <si>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</si>
  <si>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</si>
  <si>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</si>
  <si>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</si>
  <si>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</si>
  <si>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</si>
  <si>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</si>
  <si>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</si>
  <si>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</si>
  <si>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</si>
  <si>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</si>
  <si>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</si>
  <si>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</si>
  <si>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</si>
  <si>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</si>
  <si>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</si>
  <si>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</si>
  <si>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</si>
  <si>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</si>
  <si>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</si>
  <si>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</si>
  <si>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</si>
  <si>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</si>
  <si>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</si>
  <si>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</si>
  <si>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</si>
  <si>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</si>
  <si>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</si>
  <si>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</si>
  <si>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</si>
  <si>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</si>
  <si>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</si>
  <si>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</si>
  <si>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</si>
  <si>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</si>
  <si>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</si>
  <si>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</si>
  <si>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</si>
  <si>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</si>
  <si>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</si>
  <si>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</si>
  <si>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</si>
  <si>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</si>
  <si>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</si>
  <si>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</si>
  <si>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</si>
  <si>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</si>
  <si>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</si>
  <si>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</si>
  <si>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</si>
  <si>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</si>
  <si>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</si>
  <si>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</si>
  <si>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</si>
  <si>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URRAO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</si>
  <si>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</si>
  <si>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</si>
  <si>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</si>
  <si>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</si>
  <si>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</si>
  <si>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</si>
  <si>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</si>
  <si>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</si>
  <si>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</si>
  <si>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CONTRIBUTIVO</t>
  </si>
  <si>
    <t>Básica_C</t>
  </si>
  <si>
    <t>Total</t>
  </si>
  <si>
    <t>VALORACIÓN</t>
  </si>
  <si>
    <t>FLUJO A DESCONTAR</t>
  </si>
  <si>
    <t>PERIODO DE DESCUENTO</t>
  </si>
  <si>
    <t>FLUJO DESCONTADO</t>
  </si>
  <si>
    <t>FLUJO ACUMULADO</t>
  </si>
  <si>
    <t>PASIVO COSTO MÉDICO EN EXCESO</t>
  </si>
  <si>
    <t>CAPITALIZACIÓN DE ACREENCIAS</t>
  </si>
  <si>
    <t>VALOR DEL 100% DEL PATRIMONO</t>
  </si>
  <si>
    <t>ESTADO DE RESULTADOS GRANDES LÍNEAS</t>
  </si>
  <si>
    <t>MARGEN OPERACIONAL</t>
  </si>
  <si>
    <t>MARGEN ANTES DE IMPUESTOS</t>
  </si>
  <si>
    <t>UNIDAD</t>
  </si>
  <si>
    <t>BALANCE GENERAL GRANDES LÍNEAS</t>
  </si>
  <si>
    <t>Caso As Is</t>
  </si>
  <si>
    <t>EXPLICITO</t>
  </si>
  <si>
    <t>PERPETUO</t>
  </si>
  <si>
    <t>Caso Gestionado</t>
  </si>
  <si>
    <t>Capitalización de acreencias</t>
  </si>
  <si>
    <t>VARIACIÓN DE CAPITAL ACREENCIAS</t>
  </si>
  <si>
    <t>VARIACIÓN DE CAPITAL RECURSOS</t>
  </si>
  <si>
    <t>CAPITALIZACIÓN ACREENCIAS</t>
  </si>
  <si>
    <t>CAPITALIZACIÓN EN RECURSOS</t>
  </si>
  <si>
    <t>Capitalización de recursos</t>
  </si>
  <si>
    <t>CAJA EXCEDENTARIA</t>
  </si>
  <si>
    <t>Caso capitalización acreencias</t>
  </si>
  <si>
    <t>Caso capitalización recursos</t>
  </si>
  <si>
    <t>ACCIONES</t>
  </si>
  <si>
    <t>VALOR POR ACCIÓN</t>
  </si>
  <si>
    <t>VALOR DESPUES DE CONTINGENCIA</t>
  </si>
  <si>
    <t>ACCIONES EQUIVALENTES</t>
  </si>
  <si>
    <t>RECURSOS NUEVOS</t>
  </si>
  <si>
    <t>TOTAL</t>
  </si>
  <si>
    <t>%/TOTAL</t>
  </si>
  <si>
    <t>GRAFICAS INFORMES</t>
  </si>
  <si>
    <t>AFILIADOS</t>
  </si>
  <si>
    <t>UPC PROMEDIO</t>
  </si>
  <si>
    <t>2025 P</t>
  </si>
  <si>
    <t>2026 P</t>
  </si>
  <si>
    <t>2027 P</t>
  </si>
  <si>
    <t>2028 P</t>
  </si>
  <si>
    <t>VARIACIONES</t>
  </si>
  <si>
    <t>POBLACIÓN</t>
  </si>
  <si>
    <t>VARIACIÓN</t>
  </si>
  <si>
    <t>VARIACIÓN INGRESOS</t>
  </si>
  <si>
    <t>HOSPITAL PABLO TOBON URIBE</t>
  </si>
  <si>
    <t>COOPERATIVAS DE HOSPITALES DE ANTIOQUIA</t>
  </si>
  <si>
    <t>ESE HOSPITAL SAN RAFAEL</t>
  </si>
  <si>
    <t>ESE HOSPITAL PEDRO NEL CARDONA</t>
  </si>
  <si>
    <t>ACREENCIAS</t>
  </si>
  <si>
    <t>CIFRAS EN MILLONES DE  PESOS</t>
  </si>
  <si>
    <t>Escenario</t>
  </si>
  <si>
    <t>Escenarios</t>
  </si>
  <si>
    <t>Construcción de valor</t>
  </si>
  <si>
    <t>Partida</t>
  </si>
  <si>
    <t>Antes de acreencias</t>
  </si>
  <si>
    <t>Exceso de acreencias</t>
  </si>
  <si>
    <t>Capitaliza acreencias</t>
  </si>
  <si>
    <t>Capitaliza recursos</t>
  </si>
  <si>
    <t>Valor del 100%</t>
  </si>
  <si>
    <t>Valor acción</t>
  </si>
  <si>
    <t>Después acreencias</t>
  </si>
  <si>
    <t>Acciones</t>
  </si>
  <si>
    <t>Participación accionaria</t>
  </si>
  <si>
    <t>INGRESO PROMEDIO POR AFILIADO</t>
  </si>
  <si>
    <t>PERSONAS</t>
  </si>
  <si>
    <t>EGRESO MÉDICO</t>
  </si>
  <si>
    <t>INGRESO</t>
  </si>
  <si>
    <t>ESE</t>
  </si>
  <si>
    <t>PSFF</t>
  </si>
  <si>
    <t>HOSPITAL GENERAL MEDELLIN</t>
  </si>
  <si>
    <t>NO</t>
  </si>
  <si>
    <t>FUNDACIÓN HOSPITAL SAN VICENTE</t>
  </si>
  <si>
    <t>E.S.E METROSALUD</t>
  </si>
  <si>
    <t>E.S.E HOSPITAL MANUEL URIBE ANGEL</t>
  </si>
  <si>
    <t>HOSPITAL SAN JUAN DE DIOS E.S.E</t>
  </si>
  <si>
    <t>ESE HOSPITAL MARCO FIDEL SUAREZ</t>
  </si>
  <si>
    <t>E.S.E HOSPITAL LA MARIA</t>
  </si>
  <si>
    <t>E.S.E HOSPITAL MENTAL DE ANTIOQUIA</t>
  </si>
  <si>
    <t>ESE HOSPITAL CESAR URIBE PIEDRAHITA</t>
  </si>
  <si>
    <t>ESE HOSPITAL FRANCISCO VALDERRAMA</t>
  </si>
  <si>
    <t>ESE HOSPITAL OSCAR EMIRO VERGARA</t>
  </si>
  <si>
    <t>EMPRESA SOCIAL DEL ESTADO BELLOSALUD</t>
  </si>
  <si>
    <t>ESE HOSPITAL LA ANUNCIACION</t>
  </si>
  <si>
    <t>ESE HOSPITAL IVAN RESTREPO GOMEZ</t>
  </si>
  <si>
    <t xml:space="preserve">TOTAL </t>
  </si>
  <si>
    <t>SI</t>
  </si>
  <si>
    <t>% CAPITAL</t>
  </si>
  <si>
    <t>ACREENCIAS CORTE JUNIO 2018</t>
  </si>
  <si>
    <t>PLAN CUMPLIMIENTO RIESGOS</t>
  </si>
  <si>
    <t>BOCAS</t>
  </si>
  <si>
    <t>12. CAPITALIZACIÓN DE ACREENCIAS</t>
  </si>
  <si>
    <t>13. CAPITALIZACIÓN DE RECURSOS</t>
  </si>
  <si>
    <t>11. BOCAS</t>
  </si>
  <si>
    <t>SALDO INICIAL</t>
  </si>
  <si>
    <t>SALDO FINAL</t>
  </si>
  <si>
    <t>TASA EA</t>
  </si>
  <si>
    <t>CONTADOR</t>
  </si>
  <si>
    <t>INTERES</t>
  </si>
  <si>
    <t>ABONO A CAPITAL</t>
  </si>
  <si>
    <t>PLAZO (MAX 12)</t>
  </si>
  <si>
    <t>ACREENCIA</t>
  </si>
  <si>
    <t>&lt; 180 DÍAS</t>
  </si>
  <si>
    <t>&gt; 181 DÍAS</t>
  </si>
  <si>
    <t>CAPITALIZA</t>
  </si>
  <si>
    <t>DCTO</t>
  </si>
  <si>
    <t>%DCTO</t>
  </si>
  <si>
    <t>CAPITALIZACIÓN DE TERCEROS</t>
  </si>
  <si>
    <t>NUEVA CAPITALIZACIÓN</t>
  </si>
  <si>
    <t>14. INDICADORES FENIX</t>
  </si>
  <si>
    <t>OBJETIVO DE RESERVAS TÉCNICAS</t>
  </si>
  <si>
    <t>ROTACION COSTO</t>
  </si>
  <si>
    <t>DÍAS</t>
  </si>
  <si>
    <t>TOTAL RESERVAS</t>
  </si>
  <si>
    <t>COBERTURA</t>
  </si>
  <si>
    <t>RECUPERACION ENTIDAD TERRITORIAL</t>
  </si>
  <si>
    <t>NO CORRIENTE (Puede ser negativo)</t>
  </si>
  <si>
    <t>PAGO CON DESCUENTO</t>
  </si>
  <si>
    <t>Descuento sobre privados IPS</t>
  </si>
  <si>
    <t>Nivel de endeudamiento</t>
  </si>
  <si>
    <t>Razón corriente</t>
  </si>
  <si>
    <t>Pasivo con terceros</t>
  </si>
  <si>
    <t>Activo total</t>
  </si>
  <si>
    <t>Pasivo Corriente</t>
  </si>
  <si>
    <t>Activo Corriente</t>
  </si>
  <si>
    <t>Utilidad neta</t>
  </si>
  <si>
    <t>Ingresos netos</t>
  </si>
  <si>
    <t>Liquidez salud</t>
  </si>
  <si>
    <t>Activo Corriente en salud</t>
  </si>
  <si>
    <t>Pasivo Corriente en salud</t>
  </si>
  <si>
    <t>Objetivo</t>
  </si>
  <si>
    <t>Rentabilidad del activo</t>
  </si>
  <si>
    <t>Activo Total</t>
  </si>
  <si>
    <t>Rotación del activo</t>
  </si>
  <si>
    <t>BASE</t>
  </si>
  <si>
    <t>CONTINGENCIAS</t>
  </si>
  <si>
    <t>VALOR (1)</t>
  </si>
  <si>
    <t>VALOR (2)</t>
  </si>
  <si>
    <t>VALOR (3)</t>
  </si>
  <si>
    <t>CONT.</t>
  </si>
  <si>
    <t>Costo médico / Ingresos</t>
  </si>
  <si>
    <t>GOB. ANTIOQUIA</t>
  </si>
  <si>
    <t>ALC. MEDELLIN</t>
  </si>
  <si>
    <t>COMFAMA</t>
  </si>
  <si>
    <t>PUBLICOS</t>
  </si>
  <si>
    <t>PRIVADOS</t>
  </si>
  <si>
    <t>Patrimonio</t>
  </si>
  <si>
    <t>INDICE</t>
  </si>
  <si>
    <t>INGRESO CONSTANTE 2018</t>
  </si>
  <si>
    <t>EGRESO MÉDICO CONSTANTE 2018</t>
  </si>
  <si>
    <t>Caja total</t>
  </si>
  <si>
    <t>Reservas</t>
  </si>
  <si>
    <t>Caja excedente</t>
  </si>
  <si>
    <t>Costo</t>
  </si>
  <si>
    <t>Gasto</t>
  </si>
  <si>
    <t>O.Ingreso</t>
  </si>
  <si>
    <t>O.Egreso</t>
  </si>
  <si>
    <t>Impuesto</t>
  </si>
  <si>
    <t>EBT</t>
  </si>
  <si>
    <t>M. Operacional</t>
  </si>
  <si>
    <t>M. Bruto</t>
  </si>
  <si>
    <t>M. Neto</t>
  </si>
  <si>
    <t>Descuento ESEs</t>
  </si>
  <si>
    <t>INGRESO FINANCIERO / CAJA</t>
  </si>
  <si>
    <t>%EA</t>
  </si>
  <si>
    <t>Moderado</t>
  </si>
  <si>
    <t>Optimista</t>
  </si>
  <si>
    <t>ESCENARIO SELECCIONADO INGRESOS</t>
  </si>
  <si>
    <t>UPC Piloto</t>
  </si>
  <si>
    <t>Base_C</t>
  </si>
  <si>
    <t>- HOSPITALES</t>
  </si>
  <si>
    <t>Nota: Donde está la IPSU que tiene $100mM</t>
  </si>
  <si>
    <t>Las ESE del Gobernador NO capitaliza</t>
  </si>
  <si>
    <t>Factor</t>
  </si>
  <si>
    <t>Reserva técnica</t>
  </si>
  <si>
    <t>2018</t>
  </si>
  <si>
    <t>2019</t>
  </si>
  <si>
    <t>2020</t>
  </si>
  <si>
    <t>2021</t>
  </si>
  <si>
    <t>2022</t>
  </si>
  <si>
    <t>Maxímo</t>
  </si>
  <si>
    <t>Alto</t>
  </si>
  <si>
    <t>Media</t>
  </si>
  <si>
    <t>Bajo</t>
  </si>
  <si>
    <t>Mínimo</t>
  </si>
  <si>
    <t>Desviación estándar</t>
  </si>
  <si>
    <t>Promedio calculado</t>
  </si>
  <si>
    <t>Repeticiones</t>
  </si>
  <si>
    <t>SAVIA Salud</t>
  </si>
  <si>
    <t>Análisis Costo Médico</t>
  </si>
  <si>
    <t>COSTO MÉDICO TOTAL</t>
  </si>
  <si>
    <t>COSTO MÉDICO UPC</t>
  </si>
  <si>
    <t>POBLACIÓN AFILIADA</t>
  </si>
  <si>
    <t xml:space="preserve">BÁSICA </t>
  </si>
  <si>
    <t>DISPERSA</t>
  </si>
  <si>
    <t>CONURBADA</t>
  </si>
  <si>
    <t>BÁSICA_C</t>
  </si>
  <si>
    <t>PILOTO</t>
  </si>
  <si>
    <t>DISTRIBUCIÓN DE LA POBLACIÓN</t>
  </si>
  <si>
    <t>VALOR UPC PROMEDIO AÑO</t>
  </si>
  <si>
    <t>INGRESOS POR UPC</t>
  </si>
  <si>
    <t>(-) VALOR INTERESES IDEA</t>
  </si>
  <si>
    <t>AMORTIZACIÓN A CAPITAL</t>
  </si>
  <si>
    <t>TASA  MEDIA DE INTERÉS</t>
  </si>
  <si>
    <t>COSTO MÉDICO A 180 DÍAS</t>
  </si>
  <si>
    <t>CUENTAS POR PAGAR COSTO MÉDICO</t>
  </si>
  <si>
    <t>Reservas fondeadas</t>
  </si>
  <si>
    <t>RESERVAS FONDEADAS N-1</t>
  </si>
  <si>
    <t>VALOR SIN CONT.</t>
  </si>
  <si>
    <t>VALOR CON ACR.</t>
  </si>
  <si>
    <t>VALOR CON CONT.</t>
  </si>
  <si>
    <t>VALOR FINAL</t>
  </si>
  <si>
    <t>Rot. CxC</t>
  </si>
  <si>
    <t>2023</t>
  </si>
  <si>
    <t>2024</t>
  </si>
  <si>
    <t>2025</t>
  </si>
  <si>
    <t>2026</t>
  </si>
  <si>
    <t>2027</t>
  </si>
  <si>
    <t>Flujo de caja</t>
  </si>
  <si>
    <t>Valor descontado</t>
  </si>
  <si>
    <t>Valor total</t>
  </si>
  <si>
    <t>Descripción</t>
  </si>
  <si>
    <t>Valor</t>
  </si>
  <si>
    <t>Empresa</t>
  </si>
  <si>
    <t>Acción</t>
  </si>
  <si>
    <t>Patrimonio Positivo</t>
  </si>
  <si>
    <t>Composición accionaria</t>
  </si>
  <si>
    <t>Público</t>
  </si>
  <si>
    <t>Privado</t>
  </si>
  <si>
    <t>NA</t>
  </si>
  <si>
    <t>No se alcanza</t>
  </si>
  <si>
    <t>As - Is</t>
  </si>
  <si>
    <t>Gestión</t>
  </si>
  <si>
    <t>Mejora del margen bruto en 9% en 9 años. 
Recuperación paulatina de la cartera</t>
  </si>
  <si>
    <t>Mejora del margen bruto en 9% en 9 años.
Recuperación de COP 70.000 M en 2018</t>
  </si>
  <si>
    <t>Capitalización acreencias</t>
  </si>
  <si>
    <t>Id.</t>
  </si>
  <si>
    <t>0.</t>
  </si>
  <si>
    <t>1.1</t>
  </si>
  <si>
    <t>1.2</t>
  </si>
  <si>
    <t>2.1</t>
  </si>
  <si>
    <t>2.2</t>
  </si>
  <si>
    <t>2.3</t>
  </si>
  <si>
    <t>2.4</t>
  </si>
  <si>
    <t>Capitalización de efectivo</t>
  </si>
  <si>
    <t>Escenario 1.1 + Capitalización acreencias por COP 111.000 M</t>
  </si>
  <si>
    <t>Escenario 1.1 + Capitalización acreencias por COP 233.000 M</t>
  </si>
  <si>
    <t>Escenario 1.2 + Capitalización acreencias por COP 111.000 M</t>
  </si>
  <si>
    <t>Escenario 1.2 + Capitalización acreencias por COP 233.000 M</t>
  </si>
  <si>
    <t>Escenario 2.1 + Capitalización líquida por COP 450.000</t>
  </si>
  <si>
    <t>Escenario 2.2 + Capitalización líquida por COP 450.000</t>
  </si>
  <si>
    <t>Escenario 2.3 + Capitalización líquida por COP 450.000</t>
  </si>
  <si>
    <t>Escenario 2.4 + Capitalización líquida por COP 450.000</t>
  </si>
  <si>
    <t>Empresa
COP M</t>
  </si>
  <si>
    <t>Acción
COP</t>
  </si>
  <si>
    <t>Año en que se alcanza</t>
  </si>
  <si>
    <t>3.1</t>
  </si>
  <si>
    <t>3.2</t>
  </si>
  <si>
    <t>3.3</t>
  </si>
  <si>
    <t>3.4</t>
  </si>
  <si>
    <t>SAVIA</t>
  </si>
  <si>
    <t>Ingresos</t>
  </si>
  <si>
    <t>Costos</t>
  </si>
  <si>
    <t>Variación</t>
  </si>
  <si>
    <t>UPC Implícita</t>
  </si>
  <si>
    <t>Personas</t>
  </si>
  <si>
    <t>Gastos efectivos</t>
  </si>
  <si>
    <t>Caja</t>
  </si>
  <si>
    <t>COMPARACIÓN DE MODELOS</t>
  </si>
  <si>
    <t>1 día equivale a:</t>
  </si>
  <si>
    <t>PAGO NEGOCIACIÓN 2018</t>
  </si>
  <si>
    <t>Pago acreencia</t>
  </si>
  <si>
    <t>Caja 2018</t>
  </si>
  <si>
    <t>Valor de la acción</t>
  </si>
  <si>
    <t>%Capitalización Accr.</t>
  </si>
  <si>
    <t>$Capitalización recursos</t>
  </si>
  <si>
    <t>Pago Gobernación</t>
  </si>
  <si>
    <t>Rec. Cartera</t>
  </si>
  <si>
    <t>Acreencias</t>
  </si>
  <si>
    <t>Pago saldo</t>
  </si>
  <si>
    <t>Recursos Liq.</t>
  </si>
  <si>
    <t>Valor empresa</t>
  </si>
  <si>
    <t>Datos relevantes</t>
  </si>
  <si>
    <t>NUEVOS RECURSOS PÚBLICOS</t>
  </si>
  <si>
    <t/>
  </si>
  <si>
    <t>Flujo de caja operacional</t>
  </si>
  <si>
    <t>Gasto de administración / Ingresos</t>
  </si>
  <si>
    <t>Situación actual</t>
  </si>
  <si>
    <t>Resultado bruto</t>
  </si>
  <si>
    <t>Gastos</t>
  </si>
  <si>
    <t>Resultado operacional</t>
  </si>
  <si>
    <t>Otros</t>
  </si>
  <si>
    <t>Resultado neto</t>
  </si>
  <si>
    <r>
      <rPr>
        <b/>
        <sz val="12"/>
        <color theme="0"/>
        <rFont val="Symbol"/>
        <family val="1"/>
        <charset val="2"/>
      </rPr>
      <t>D</t>
    </r>
    <r>
      <rPr>
        <b/>
        <sz val="12"/>
        <color theme="0"/>
        <rFont val="Calibri"/>
        <family val="2"/>
        <scheme val="minor"/>
      </rPr>
      <t>%</t>
    </r>
  </si>
  <si>
    <t>Activos</t>
  </si>
  <si>
    <t>Cartera</t>
  </si>
  <si>
    <t>Resto</t>
  </si>
  <si>
    <t>Pasivos</t>
  </si>
  <si>
    <t>Capital</t>
  </si>
  <si>
    <t>Resultados</t>
  </si>
  <si>
    <t>Supuestos</t>
  </si>
  <si>
    <t>Lograr cubrir reservas por 2,5 meses de ventas</t>
  </si>
  <si>
    <t>Lograr la estabilización de las cuentas PBS</t>
  </si>
  <si>
    <t>Vincular COP 450.000 M de capital</t>
  </si>
  <si>
    <t>Margen bruto</t>
  </si>
  <si>
    <t>Llegar al 93% en el año 2022</t>
  </si>
  <si>
    <t>Mantenerlo fijo</t>
  </si>
  <si>
    <t>Contributivos</t>
  </si>
  <si>
    <t>Subsidiados</t>
  </si>
  <si>
    <t>Diferencia</t>
  </si>
  <si>
    <t>Escenario SAVIA (1=SI;0=NO)</t>
  </si>
  <si>
    <t>Ingresos solo UPC</t>
  </si>
  <si>
    <t>Subsidiada</t>
  </si>
  <si>
    <t>Contributiva</t>
  </si>
  <si>
    <t>Costos médicos</t>
  </si>
  <si>
    <t>Reserva</t>
  </si>
  <si>
    <t>SAVIA EEFF NOV</t>
  </si>
  <si>
    <t>CUENTA ALTO COSTO</t>
  </si>
  <si>
    <t xml:space="preserve">Crecer en IPC </t>
  </si>
  <si>
    <t>PROYECCIONES CALCULO CONDICIONES FINANCIERAS</t>
  </si>
  <si>
    <t>CAPITAL MÍNIMO</t>
  </si>
  <si>
    <t>(+)</t>
  </si>
  <si>
    <t>Capital Suscrito y Pagado</t>
  </si>
  <si>
    <t>Capital Fiscal</t>
  </si>
  <si>
    <t>Capital Garantía</t>
  </si>
  <si>
    <t>Reservas Patrimoniales</t>
  </si>
  <si>
    <t>Superávit en prima de colocación de acciones</t>
  </si>
  <si>
    <t xml:space="preserve">Utilidad o Excedentes Acumulados   </t>
  </si>
  <si>
    <t>Revalorización del Patrimonio</t>
  </si>
  <si>
    <t>Títulos Representativos de Deuda Subordinada</t>
  </si>
  <si>
    <t>(-)</t>
  </si>
  <si>
    <t>Pérdida Acumuladas de Ejercicios Anteriores</t>
  </si>
  <si>
    <t>Pérdida de Ejercicio en Curso</t>
  </si>
  <si>
    <t>(=)</t>
  </si>
  <si>
    <t>TOTAL CAPITAL MÍNIMO</t>
  </si>
  <si>
    <t>CAPITAL MÍNIMO A ACREDITAR 2017</t>
  </si>
  <si>
    <t>SUBTOTAL CAPITAL MÍNIMO</t>
  </si>
  <si>
    <t>GLOSA  (RES. 830/2017)</t>
  </si>
  <si>
    <t xml:space="preserve">CUMPLIMIENTO=
 CAPITAL MÍNIMO (+) GLOSA RES. 830/2017 </t>
  </si>
  <si>
    <t>CAPITAL PRIMARIO</t>
  </si>
  <si>
    <t>Valor total de los dividendos decretados en acciones</t>
  </si>
  <si>
    <t>Prima en colocacion de acciones</t>
  </si>
  <si>
    <t>Reserva Legal Constituida por Apropiación de Utilidades Líquidas</t>
  </si>
  <si>
    <t>Donaciones siempre que sean Irrevocables</t>
  </si>
  <si>
    <t>Anticipos destinados a incrementar capital</t>
  </si>
  <si>
    <t>Cualquier Instrumento Emitido, avalado o garan. por el Gob, para fortalecimiento patrimonial.</t>
  </si>
  <si>
    <t>Valor de inversiones de capital</t>
  </si>
  <si>
    <t>Inversiones Bonos oblig/e convertibles en acciones</t>
  </si>
  <si>
    <t>Impuesto de renta diferido</t>
  </si>
  <si>
    <t>Acciones propias readquiridas</t>
  </si>
  <si>
    <t>Valor no amortizado del cálculo actuarial del pasivo pensional</t>
  </si>
  <si>
    <t xml:space="preserve">TOTAL CAPITAL PRIMARIO   </t>
  </si>
  <si>
    <t>CAPITAL SECUNDARIO</t>
  </si>
  <si>
    <t>Reservas Estatutarias</t>
  </si>
  <si>
    <t>Reservas Ocasionales</t>
  </si>
  <si>
    <t>Las utilidades o exc del ejercicio en curso.</t>
  </si>
  <si>
    <t>Valorizaciones de las inversiones computables en títulos de deuda publica y en titulo de renta fija</t>
  </si>
  <si>
    <t xml:space="preserve">Desvalorizaciones de inversiones computables en títulos de deuda publica y en títulos de renta fija </t>
  </si>
  <si>
    <t>Bonos obligatoriamente convertibles en acciones cuyo pago en caso de liquidación este subordinado a la cancelación de los demás pasivos externos de la sociedad</t>
  </si>
  <si>
    <t xml:space="preserve">TOTAL CAPITAL SECUNDARIO   </t>
  </si>
  <si>
    <t>PATRIMONIO ADECUADO</t>
  </si>
  <si>
    <t>INGRESOS OPERACIONALES-io</t>
  </si>
  <si>
    <t>Unidad de pago por capitación - UPC</t>
  </si>
  <si>
    <t>Unidad de pago para Actividades de Promoción y Prevención</t>
  </si>
  <si>
    <t>Cuotas Moderadoras</t>
  </si>
  <si>
    <t>Copagos</t>
  </si>
  <si>
    <t>Enfermedad de alto costo</t>
  </si>
  <si>
    <t>Aporte del plan complementario</t>
  </si>
  <si>
    <t xml:space="preserve">8% Ingresos operacionales   </t>
  </si>
  <si>
    <t>COSTOS Y GASTOS - (C y G)</t>
  </si>
  <si>
    <t>Costos y Gastos Originados en los Siniestros</t>
  </si>
  <si>
    <t>REASEGURO - (SR)</t>
  </si>
  <si>
    <t>Siniestros Reconocidos por un Tercero Asegurador</t>
  </si>
  <si>
    <t xml:space="preserve">Total (C y G) menos (SR)   </t>
  </si>
  <si>
    <t>Relación entre Costos y Gastos y Siniestros Reconocidos por un Tercero Asegurador</t>
  </si>
  <si>
    <t>TOTAL PATRIMONIO ADECUADO</t>
  </si>
  <si>
    <t>TOTAL PATRIMONIO TÉCNICO</t>
  </si>
  <si>
    <t xml:space="preserve">SUBTOTAL SUFICIENCIA PATRIMONIO TÉCNICO   </t>
  </si>
  <si>
    <t xml:space="preserve">CUMPLIMIENTO=
 CAPITAL MÍNIMO(+) GLOSA RES. 830/2017 </t>
  </si>
  <si>
    <t>RECOBROS CAC</t>
  </si>
  <si>
    <t>RESUMEN</t>
  </si>
  <si>
    <t>AFILIADOS RS</t>
  </si>
  <si>
    <t>AFILIADOS RC</t>
  </si>
  <si>
    <t>TOTAL AFILIADOS</t>
  </si>
  <si>
    <t>INGRESOS UPC S</t>
  </si>
  <si>
    <t>INGRESOS UPC C</t>
  </si>
  <si>
    <t>OTROS OP. (COPAGOS, CAC, INC)</t>
  </si>
  <si>
    <t>TOTAL ING. OPERACIONALES</t>
  </si>
  <si>
    <t>GASTO EN SALUD</t>
  </si>
  <si>
    <t>RESERVA TÉCNICA</t>
  </si>
  <si>
    <t>TOTAL GASTO EN SALUD</t>
  </si>
  <si>
    <t>UTILIDAD BRUTA</t>
  </si>
  <si>
    <t>SINIESTRALIDAD PBS</t>
  </si>
  <si>
    <t>SINIESTRALIDAD TOTAL</t>
  </si>
  <si>
    <t>GASTO ADMON</t>
  </si>
  <si>
    <t>% GTO ADMON/INGRESO</t>
  </si>
  <si>
    <t>OTROS INGRESOS NO OPERACIONALES</t>
  </si>
  <si>
    <t>RESULTADO NETO</t>
  </si>
  <si>
    <t>%RESULTADO NETO</t>
  </si>
  <si>
    <t>OTROS</t>
  </si>
  <si>
    <t>11. OTROS</t>
  </si>
  <si>
    <t xml:space="preserve">2018 </t>
  </si>
  <si>
    <t xml:space="preserve">2019 </t>
  </si>
  <si>
    <t>2029 P</t>
  </si>
  <si>
    <t>2030 P</t>
  </si>
  <si>
    <t>CAPITALIZACIÓN SOCIOS ACTUALES</t>
  </si>
  <si>
    <t>Capital Suscrito y Pagado+ BOCAS</t>
  </si>
  <si>
    <t>ACREENCIAS PUBLICOS</t>
  </si>
  <si>
    <t>ACREENCIAS PRIVADOS</t>
  </si>
  <si>
    <t>ACREENCIAS PÚBLICOS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</si>
</sst>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164" formatCode="_(* #,##0.00_);_(* \(#,##0.00\);_(* &quot;-&quot;??_);_(@_)"/>
    <numFmt numFmtId="165" formatCode="#,##0,,"/>
    <numFmt numFmtId="166" formatCode="_(* #,##0_);_(* \(#,##0\);_(* &quot;-&quot;??_);_(@_)"/>
    <numFmt numFmtId="167" formatCode="0.0"/>
    <numFmt numFmtId="168" formatCode="mmm\-yyyy"/>
    <numFmt numFmtId="169" formatCode="0.0000%"/>
    <numFmt numFmtId="170" formatCode="_(* #,##0_);_(* \(#,##0\);_(* &quot;-&quot;_);_(@_)"/>
    <numFmt numFmtId="171" formatCode="0.0%"/>
    <numFmt numFmtId="172" formatCode="0.000%"/>
    <numFmt numFmtId="173" formatCode="#,##0.00&quot; Meses&quot;"/>
    <numFmt numFmtId="174" formatCode="#,##0.00&quot; Días&quot;"/>
  </numFmts>
  <fonts count="7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</font>
    <font>
      <i/>
      <sz val="9"/>
      <color rgb="FF212121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9"/>
      <color rgb="FF0E0E0E"/>
      <name val="Calibri"/>
      <family val="2"/>
      <scheme val="minor"/>
    </font>
    <font>
      <sz val="9"/>
      <color indexed="8"/>
      <name val="Calibri"/>
      <family val="2"/>
    </font>
    <font>
      <sz val="9"/>
      <color indexed="63"/>
      <name val="Calibri"/>
      <family val="2"/>
    </font>
    <font>
      <sz val="9"/>
      <color rgb="FF21212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E0E0E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name val="Arial"/>
      <family val="2"/>
    </font>
    <font>
      <u/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indexed="63"/>
      <name val="Arial"/>
      <family val="2"/>
    </font>
    <font>
      <sz val="9"/>
      <color indexed="8"/>
      <name val="Arial"/>
      <family val="2"/>
    </font>
    <font>
      <sz val="9"/>
      <color rgb="FF000000"/>
      <name val="Arial"/>
      <family val="2"/>
    </font>
    <font>
      <sz val="10"/>
      <name val="Verdana"/>
      <family val="2"/>
    </font>
    <font>
      <u/>
      <sz val="10"/>
      <color theme="10"/>
      <name val="Calibri"/>
      <family val="2"/>
    </font>
    <font>
      <sz val="11"/>
      <color rgb="FF00B050"/>
      <name val="Calibri"/>
      <family val="2"/>
      <scheme val="minor"/>
    </font>
    <font>
      <sz val="11"/>
      <color rgb="FFCC00CC"/>
      <name val="Calibri"/>
      <family val="2"/>
      <scheme val="minor"/>
    </font>
    <font>
      <sz val="11"/>
      <color rgb="FF0070C0"/>
      <name val="Calibri"/>
      <family val="2"/>
      <scheme val="minor"/>
    </font>
    <font>
      <u/>
      <sz val="10"/>
      <color theme="10"/>
      <name val="Arial"/>
      <family val="2"/>
    </font>
    <font>
      <sz val="11"/>
      <color rgb="FFFF0066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70C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2D62"/>
      <name val="Calibri"/>
      <family val="2"/>
      <scheme val="minor"/>
    </font>
    <font>
      <b/>
      <sz val="11"/>
      <color rgb="FF002D62"/>
      <name val="Calibri"/>
      <family val="2"/>
      <scheme val="minor"/>
    </font>
    <font>
      <b/>
      <sz val="12"/>
      <color rgb="FF002D62"/>
      <name val="Calibri"/>
      <family val="2"/>
      <scheme val="minor"/>
    </font>
    <font>
      <b/>
      <sz val="14"/>
      <color rgb="FF002D62"/>
      <name val="Calibri"/>
      <family val="2"/>
      <scheme val="minor"/>
    </font>
    <font>
      <b/>
      <sz val="20"/>
      <color rgb="FF002D62"/>
      <name val="Calibri"/>
      <family val="2"/>
      <scheme val="minor"/>
    </font>
    <font>
      <sz val="14"/>
      <color rgb="FF002D62"/>
      <name val="Calibri"/>
      <family val="2"/>
      <scheme val="minor"/>
    </font>
    <font>
      <sz val="12"/>
      <color rgb="FF002D62"/>
      <name val="Calibri"/>
      <family val="2"/>
      <scheme val="minor"/>
    </font>
    <font>
      <b/>
      <sz val="12"/>
      <color theme="0"/>
      <name val="Symbol"/>
      <family val="1"/>
      <charset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1"/>
      <color rgb="FFC00000"/>
      <name val="Arial"/>
      <family val="2"/>
    </font>
    <font>
      <sz val="12"/>
      <color theme="1"/>
      <name val="Arial"/>
      <family val="2"/>
    </font>
    <font>
      <b/>
      <sz val="11"/>
      <color rgb="FFC00000"/>
      <name val="Calibri"/>
      <family val="2"/>
      <scheme val="minor"/>
    </font>
    <font>
      <b/>
      <i/>
      <sz val="12"/>
      <color theme="1"/>
      <name val="Arial"/>
      <family val="2"/>
    </font>
    <font>
      <b/>
      <i/>
      <sz val="12"/>
      <name val="Arial"/>
      <family val="2"/>
    </font>
    <font>
      <b/>
      <sz val="10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i/>
      <sz val="12"/>
      <color theme="0"/>
      <name val="Arial"/>
      <family val="2"/>
    </font>
    <font>
      <b/>
      <sz val="12"/>
      <color theme="9" tint="-0.249977111117893"/>
      <name val="Arial"/>
      <family val="2"/>
    </font>
    <font>
      <b/>
      <sz val="12"/>
      <color theme="1"/>
      <name val="Arial"/>
      <family val="2"/>
    </font>
    <font>
      <sz val="10"/>
      <color rgb="FF000000"/>
      <name val="Arial"/>
      <family val="2"/>
    </font>
    <font>
      <b/>
      <sz val="12"/>
      <name val="Arial"/>
      <family val="2"/>
    </font>
    <font>
      <sz val="12"/>
      <color rgb="FF000000"/>
      <name val="Arial"/>
      <family val="2"/>
    </font>
    <font>
      <sz val="11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DB913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14996795556505021"/>
      </left>
      <right style="medium">
        <color theme="1" tint="0.34998626667073579"/>
      </right>
      <top style="thin">
        <color theme="0" tint="-0.14996795556505021"/>
      </top>
      <bottom style="medium">
        <color theme="1" tint="0.499984740745262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2D62"/>
      </left>
      <right style="thin">
        <color rgb="FF002D62"/>
      </right>
      <top style="thin">
        <color rgb="FF002D62"/>
      </top>
      <bottom style="thin">
        <color rgb="FF002D62"/>
      </bottom>
      <diagonal/>
    </border>
    <border>
      <left/>
      <right style="thin">
        <color theme="0"/>
      </right>
      <top/>
      <bottom style="thin">
        <color rgb="FF002D62"/>
      </bottom>
      <diagonal/>
    </border>
    <border>
      <left style="thin">
        <color theme="0"/>
      </left>
      <right style="thin">
        <color theme="0"/>
      </right>
      <top/>
      <bottom style="thin">
        <color rgb="FF002D62"/>
      </bottom>
      <diagonal/>
    </border>
    <border>
      <left style="thin">
        <color theme="0"/>
      </left>
      <right/>
      <top/>
      <bottom style="thin">
        <color rgb="FF002D62"/>
      </bottom>
      <diagonal/>
    </border>
    <border>
      <left/>
      <right/>
      <top/>
      <bottom style="medium">
        <color rgb="FF002D62"/>
      </bottom>
      <diagonal/>
    </border>
    <border>
      <left/>
      <right style="thin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rgb="FF00206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theme="8" tint="-0.499984740745262"/>
      </top>
      <bottom style="dotted">
        <color theme="8" tint="-0.499984740745262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206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theme="8" tint="-0.499984740745262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5">
    <xf numFmtId="0" fontId="0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27" fillId="0" borderId="0"/>
    <xf numFmtId="0" fontId="2" fillId="0" borderId="0"/>
    <xf numFmtId="9" fontId="2" fillId="0" borderId="0" applyFont="0" applyFill="0" applyBorder="0" applyAlignment="0" applyProtection="0"/>
    <xf numFmtId="0" fontId="11" fillId="0" borderId="0"/>
    <xf numFmtId="0" fontId="2" fillId="0" borderId="0"/>
    <xf numFmtId="0" fontId="32" fillId="0" borderId="0" applyNumberFormat="0" applyFill="0" applyBorder="0" applyAlignment="0" applyProtection="0">
      <alignment vertical="top"/>
    </xf>
    <xf numFmtId="0" fontId="34" fillId="0" borderId="0"/>
    <xf numFmtId="0" fontId="11" fillId="0" borderId="0"/>
    <xf numFmtId="170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72" fillId="0" borderId="0"/>
  </cellStyleXfs>
  <cellXfs count="505">
    <xf numFmtId="0" fontId="0" fillId="0" borderId="0" xfId="0"/>
    <xf numFmtId="3" fontId="0" fillId="0" borderId="0" xfId="0" applyNumberFormat="1"/>
    <xf numFmtId="3" fontId="1" fillId="0" borderId="0" xfId="0" applyNumberFormat="1" applyFont="1"/>
    <xf numFmtId="3" fontId="1" fillId="0" borderId="0" xfId="0" applyNumberFormat="1" applyFont="1" applyAlignment="1">
      <alignment horizontal="right"/>
    </xf>
    <xf numFmtId="3" fontId="0" fillId="0" borderId="0" xfId="0" applyNumberFormat="1" applyAlignment="1">
      <alignment horizontal="left" indent="1"/>
    </xf>
    <xf numFmtId="3" fontId="4" fillId="0" borderId="0" xfId="0" applyNumberFormat="1" applyFont="1"/>
    <xf numFmtId="10" fontId="0" fillId="0" borderId="0" xfId="0" applyNumberFormat="1"/>
    <xf numFmtId="10" fontId="4" fillId="0" borderId="0" xfId="0" applyNumberFormat="1" applyFont="1"/>
    <xf numFmtId="10" fontId="0" fillId="0" borderId="0" xfId="1" applyNumberFormat="1" applyFont="1"/>
    <xf numFmtId="165" fontId="0" fillId="0" borderId="0" xfId="0" applyNumberFormat="1"/>
    <xf numFmtId="10" fontId="0" fillId="0" borderId="0" xfId="0" applyNumberFormat="1" applyAlignment="1">
      <alignment horizontal="left" indent="1"/>
    </xf>
    <xf numFmtId="10" fontId="3" fillId="0" borderId="0" xfId="0" applyNumberFormat="1" applyFont="1"/>
    <xf numFmtId="165" fontId="1" fillId="0" borderId="0" xfId="0" applyNumberFormat="1" applyFont="1"/>
    <xf numFmtId="165" fontId="4" fillId="0" borderId="0" xfId="0" applyNumberFormat="1" applyFont="1"/>
    <xf numFmtId="166" fontId="1" fillId="0" borderId="0" xfId="2" applyNumberFormat="1" applyFont="1" applyAlignment="1">
      <alignment horizontal="center"/>
    </xf>
    <xf numFmtId="3" fontId="5" fillId="0" borderId="0" xfId="2" quotePrefix="1" applyNumberFormat="1" applyFont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/>
    <xf numFmtId="3" fontId="6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left" indent="1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right"/>
    </xf>
    <xf numFmtId="3" fontId="7" fillId="0" borderId="0" xfId="0" applyNumberFormat="1" applyFont="1"/>
    <xf numFmtId="0" fontId="8" fillId="0" borderId="0" xfId="0" applyFont="1" applyAlignment="1">
      <alignment horizontal="left" indent="2"/>
    </xf>
    <xf numFmtId="0" fontId="8" fillId="0" borderId="0" xfId="0" applyFont="1" applyAlignment="1">
      <alignment horizontal="center"/>
    </xf>
    <xf numFmtId="3" fontId="8" fillId="0" borderId="0" xfId="0" applyNumberFormat="1" applyFont="1" applyAlignment="1">
      <alignment horizontal="right"/>
    </xf>
    <xf numFmtId="3" fontId="8" fillId="0" borderId="0" xfId="0" applyNumberFormat="1" applyFont="1"/>
    <xf numFmtId="0" fontId="8" fillId="0" borderId="0" xfId="0" applyFont="1"/>
    <xf numFmtId="0" fontId="9" fillId="0" borderId="0" xfId="0" applyFont="1" applyAlignment="1">
      <alignment horizontal="left" indent="2"/>
    </xf>
    <xf numFmtId="0" fontId="10" fillId="0" borderId="0" xfId="0" applyFont="1" applyAlignment="1">
      <alignment horizontal="left" indent="1"/>
    </xf>
    <xf numFmtId="0" fontId="9" fillId="0" borderId="0" xfId="3" applyFont="1" applyAlignment="1">
      <alignment horizontal="left" vertical="center" indent="2"/>
    </xf>
    <xf numFmtId="0" fontId="12" fillId="0" borderId="0" xfId="0" applyFont="1" applyAlignment="1">
      <alignment horizontal="left" indent="2"/>
    </xf>
    <xf numFmtId="3" fontId="9" fillId="0" borderId="0" xfId="0" applyNumberFormat="1" applyFont="1"/>
    <xf numFmtId="0" fontId="13" fillId="0" borderId="0" xfId="0" applyFont="1" applyAlignment="1">
      <alignment horizontal="left" vertical="center" indent="2"/>
    </xf>
    <xf numFmtId="0" fontId="14" fillId="0" borderId="0" xfId="0" applyFont="1" applyAlignment="1">
      <alignment horizontal="left" indent="2"/>
    </xf>
    <xf numFmtId="0" fontId="7" fillId="0" borderId="0" xfId="0" applyFont="1" applyAlignment="1">
      <alignment horizontal="left"/>
    </xf>
    <xf numFmtId="166" fontId="7" fillId="0" borderId="0" xfId="2" applyNumberFormat="1" applyFont="1" applyAlignment="1">
      <alignment horizontal="center"/>
    </xf>
    <xf numFmtId="166" fontId="10" fillId="0" borderId="0" xfId="2" quotePrefix="1" applyNumberFormat="1" applyFont="1" applyAlignment="1">
      <alignment horizontal="center"/>
    </xf>
    <xf numFmtId="0" fontId="10" fillId="0" borderId="0" xfId="0" applyFont="1"/>
    <xf numFmtId="0" fontId="17" fillId="0" borderId="0" xfId="0" applyFont="1"/>
    <xf numFmtId="3" fontId="10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166" fontId="7" fillId="0" borderId="0" xfId="2" applyNumberFormat="1" applyFont="1"/>
    <xf numFmtId="166" fontId="7" fillId="0" borderId="0" xfId="2" applyNumberFormat="1" applyFont="1" applyAlignment="1">
      <alignment horizontal="right"/>
    </xf>
    <xf numFmtId="0" fontId="10" fillId="0" borderId="0" xfId="3" applyFont="1" applyAlignment="1">
      <alignment horizontal="left" vertical="center"/>
    </xf>
    <xf numFmtId="0" fontId="20" fillId="0" borderId="0" xfId="0" applyFont="1"/>
    <xf numFmtId="0" fontId="7" fillId="0" borderId="2" xfId="0" applyFont="1" applyBorder="1"/>
    <xf numFmtId="166" fontId="10" fillId="0" borderId="0" xfId="2" applyNumberFormat="1" applyFont="1"/>
    <xf numFmtId="166" fontId="10" fillId="0" borderId="0" xfId="2" applyNumberFormat="1" applyFont="1" applyAlignment="1">
      <alignment horizontal="right"/>
    </xf>
    <xf numFmtId="0" fontId="21" fillId="0" borderId="0" xfId="0" applyFont="1"/>
    <xf numFmtId="0" fontId="21" fillId="0" borderId="0" xfId="3" applyFont="1" applyAlignment="1">
      <alignment horizontal="left" vertical="center"/>
    </xf>
    <xf numFmtId="0" fontId="22" fillId="0" borderId="0" xfId="0" applyFont="1"/>
    <xf numFmtId="0" fontId="23" fillId="0" borderId="0" xfId="0" applyFont="1"/>
    <xf numFmtId="0" fontId="26" fillId="0" borderId="0" xfId="0" applyFont="1" applyAlignment="1">
      <alignment vertical="center"/>
    </xf>
    <xf numFmtId="10" fontId="1" fillId="0" borderId="3" xfId="6" applyNumberFormat="1" applyFont="1" applyBorder="1" applyAlignment="1">
      <alignment horizontal="center" vertical="center" wrapText="1"/>
    </xf>
    <xf numFmtId="10" fontId="0" fillId="0" borderId="0" xfId="6" applyNumberFormat="1" applyFont="1"/>
    <xf numFmtId="10" fontId="5" fillId="0" borderId="4" xfId="6" applyNumberFormat="1" applyFont="1" applyBorder="1"/>
    <xf numFmtId="10" fontId="1" fillId="0" borderId="0" xfId="6" applyNumberFormat="1" applyFont="1"/>
    <xf numFmtId="10" fontId="0" fillId="0" borderId="0" xfId="6" applyNumberFormat="1" applyFont="1" applyAlignment="1">
      <alignment horizontal="center"/>
    </xf>
    <xf numFmtId="10" fontId="0" fillId="4" borderId="0" xfId="6" applyNumberFormat="1" applyFont="1" applyFill="1" applyAlignment="1">
      <alignment horizontal="center"/>
    </xf>
    <xf numFmtId="14" fontId="0" fillId="0" borderId="0" xfId="6" applyNumberFormat="1" applyFont="1" applyAlignment="1">
      <alignment horizontal="center"/>
    </xf>
    <xf numFmtId="10" fontId="29" fillId="0" borderId="0" xfId="6" applyNumberFormat="1" applyFont="1"/>
    <xf numFmtId="10" fontId="31" fillId="0" borderId="0" xfId="6" applyNumberFormat="1" applyFont="1"/>
    <xf numFmtId="0" fontId="5" fillId="0" borderId="0" xfId="7" applyFont="1" applyAlignment="1">
      <alignment horizontal="left"/>
    </xf>
    <xf numFmtId="0" fontId="2" fillId="0" borderId="0" xfId="8"/>
    <xf numFmtId="3" fontId="1" fillId="0" borderId="0" xfId="8" applyNumberFormat="1" applyFont="1"/>
    <xf numFmtId="0" fontId="5" fillId="3" borderId="0" xfId="8" applyFont="1" applyFill="1"/>
    <xf numFmtId="3" fontId="3" fillId="3" borderId="0" xfId="8" applyNumberFormat="1" applyFont="1" applyFill="1" applyAlignment="1">
      <alignment horizontal="center"/>
    </xf>
    <xf numFmtId="3" fontId="3" fillId="3" borderId="0" xfId="8" applyNumberFormat="1" applyFont="1" applyFill="1"/>
    <xf numFmtId="0" fontId="1" fillId="0" borderId="3" xfId="8" applyFont="1" applyBorder="1" applyAlignment="1">
      <alignment horizontal="center" vertical="center" wrapText="1"/>
    </xf>
    <xf numFmtId="0" fontId="2" fillId="0" borderId="0" xfId="8" applyAlignment="1">
      <alignment horizontal="center" vertical="center" wrapText="1"/>
    </xf>
    <xf numFmtId="0" fontId="2" fillId="0" borderId="0" xfId="8" applyAlignment="1">
      <alignment horizontal="center"/>
    </xf>
    <xf numFmtId="0" fontId="1" fillId="0" borderId="4" xfId="8" applyFont="1" applyBorder="1" applyAlignment="1">
      <alignment horizontal="center"/>
    </xf>
    <xf numFmtId="0" fontId="1" fillId="0" borderId="0" xfId="8" applyFont="1" applyAlignment="1">
      <alignment horizontal="center"/>
    </xf>
    <xf numFmtId="0" fontId="1" fillId="0" borderId="3" xfId="8" applyFont="1" applyBorder="1" applyAlignment="1">
      <alignment vertical="center" wrapText="1"/>
    </xf>
    <xf numFmtId="0" fontId="0" fillId="0" borderId="0" xfId="8" applyFont="1"/>
    <xf numFmtId="10" fontId="2" fillId="0" borderId="0" xfId="8" applyNumberFormat="1"/>
    <xf numFmtId="0" fontId="28" fillId="0" borderId="0" xfId="9" applyFont="1" applyAlignment="1"/>
    <xf numFmtId="0" fontId="3" fillId="0" borderId="3" xfId="8" applyFont="1" applyBorder="1" applyAlignment="1">
      <alignment horizontal="center"/>
    </xf>
    <xf numFmtId="1" fontId="2" fillId="0" borderId="3" xfId="8" applyNumberFormat="1" applyBorder="1" applyAlignment="1">
      <alignment horizontal="center"/>
    </xf>
    <xf numFmtId="167" fontId="2" fillId="0" borderId="3" xfId="8" applyNumberFormat="1" applyBorder="1" applyAlignment="1">
      <alignment horizontal="center"/>
    </xf>
    <xf numFmtId="168" fontId="2" fillId="0" borderId="0" xfId="8" applyNumberFormat="1" applyAlignment="1">
      <alignment horizontal="center"/>
    </xf>
    <xf numFmtId="10" fontId="2" fillId="0" borderId="0" xfId="8" applyNumberFormat="1" applyAlignment="1">
      <alignment horizontal="center"/>
    </xf>
    <xf numFmtId="3" fontId="3" fillId="0" borderId="0" xfId="8" applyNumberFormat="1" applyFont="1"/>
    <xf numFmtId="3" fontId="3" fillId="0" borderId="0" xfId="8" applyNumberFormat="1" applyFont="1" applyAlignment="1">
      <alignment horizontal="center"/>
    </xf>
    <xf numFmtId="3" fontId="3" fillId="0" borderId="0" xfId="8" applyNumberFormat="1" applyFont="1" applyAlignment="1">
      <alignment horizontal="left"/>
    </xf>
    <xf numFmtId="3" fontId="3" fillId="0" borderId="0" xfId="8" applyNumberFormat="1" applyFont="1" applyAlignment="1">
      <alignment horizontal="left" indent="1"/>
    </xf>
    <xf numFmtId="0" fontId="30" fillId="0" borderId="0" xfId="8" applyFont="1"/>
    <xf numFmtId="10" fontId="3" fillId="0" borderId="0" xfId="6" applyNumberFormat="1" applyFont="1"/>
    <xf numFmtId="3" fontId="5" fillId="0" borderId="0" xfId="8" applyNumberFormat="1" applyFont="1" applyAlignment="1">
      <alignment horizontal="left"/>
    </xf>
    <xf numFmtId="3" fontId="5" fillId="0" borderId="0" xfId="8" applyNumberFormat="1" applyFont="1"/>
    <xf numFmtId="0" fontId="1" fillId="0" borderId="0" xfId="8" applyFont="1"/>
    <xf numFmtId="0" fontId="33" fillId="0" borderId="0" xfId="8" applyFont="1"/>
    <xf numFmtId="10" fontId="1" fillId="0" borderId="0" xfId="8" applyNumberFormat="1" applyFont="1"/>
    <xf numFmtId="9" fontId="0" fillId="0" borderId="0" xfId="0" applyNumberFormat="1"/>
    <xf numFmtId="10" fontId="1" fillId="0" borderId="0" xfId="0" applyNumberFormat="1" applyFont="1"/>
    <xf numFmtId="165" fontId="3" fillId="0" borderId="0" xfId="0" applyNumberFormat="1" applyFont="1"/>
    <xf numFmtId="3" fontId="1" fillId="0" borderId="0" xfId="0" applyNumberFormat="1" applyFont="1" applyAlignment="1">
      <alignment horizontal="left"/>
    </xf>
    <xf numFmtId="166" fontId="1" fillId="0" borderId="0" xfId="2" applyNumberFormat="1" applyFont="1"/>
    <xf numFmtId="0" fontId="1" fillId="2" borderId="0" xfId="0" applyFont="1" applyFill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1" fillId="0" borderId="0" xfId="0" applyFont="1" applyAlignment="1">
      <alignment horizontal="left" indent="1"/>
    </xf>
    <xf numFmtId="165" fontId="1" fillId="2" borderId="0" xfId="0" applyNumberFormat="1" applyFont="1" applyFill="1"/>
    <xf numFmtId="165" fontId="35" fillId="0" borderId="0" xfId="0" applyNumberFormat="1" applyFont="1"/>
    <xf numFmtId="3" fontId="8" fillId="5" borderId="0" xfId="0" applyNumberFormat="1" applyFont="1" applyFill="1"/>
    <xf numFmtId="3" fontId="7" fillId="5" borderId="0" xfId="0" applyNumberFormat="1" applyFont="1" applyFill="1"/>
    <xf numFmtId="165" fontId="36" fillId="0" borderId="0" xfId="0" applyNumberFormat="1" applyFont="1"/>
    <xf numFmtId="4" fontId="0" fillId="0" borderId="0" xfId="0" applyNumberFormat="1"/>
    <xf numFmtId="10" fontId="1" fillId="0" borderId="0" xfId="0" applyNumberFormat="1" applyFont="1" applyAlignment="1">
      <alignment horizontal="left" indent="1"/>
    </xf>
    <xf numFmtId="10" fontId="0" fillId="0" borderId="0" xfId="0" applyNumberFormat="1" applyAlignment="1">
      <alignment horizontal="left" indent="2"/>
    </xf>
    <xf numFmtId="10" fontId="31" fillId="0" borderId="0" xfId="0" applyNumberFormat="1" applyFont="1"/>
    <xf numFmtId="4" fontId="1" fillId="0" borderId="0" xfId="0" applyNumberFormat="1" applyFont="1"/>
    <xf numFmtId="0" fontId="0" fillId="0" borderId="0" xfId="0" applyAlignment="1">
      <alignment horizontal="left" indent="3"/>
    </xf>
    <xf numFmtId="2" fontId="0" fillId="0" borderId="0" xfId="0" applyNumberFormat="1"/>
    <xf numFmtId="2" fontId="0" fillId="0" borderId="0" xfId="0" applyNumberFormat="1" applyAlignment="1">
      <alignment horizontal="left" indent="2"/>
    </xf>
    <xf numFmtId="165" fontId="1" fillId="0" borderId="0" xfId="0" applyNumberFormat="1" applyFont="1" applyAlignment="1">
      <alignment horizontal="left" indent="1"/>
    </xf>
    <xf numFmtId="165" fontId="0" fillId="0" borderId="0" xfId="0" applyNumberFormat="1" applyAlignment="1">
      <alignment horizontal="left" indent="2"/>
    </xf>
    <xf numFmtId="2" fontId="4" fillId="0" borderId="0" xfId="0" applyNumberFormat="1" applyFont="1"/>
    <xf numFmtId="4" fontId="4" fillId="0" borderId="0" xfId="0" applyNumberFormat="1" applyFont="1"/>
    <xf numFmtId="169" fontId="4" fillId="0" borderId="0" xfId="1" applyNumberFormat="1" applyFont="1"/>
    <xf numFmtId="169" fontId="0" fillId="0" borderId="0" xfId="0" applyNumberFormat="1"/>
    <xf numFmtId="165" fontId="0" fillId="0" borderId="0" xfId="0" applyNumberFormat="1" applyAlignment="1">
      <alignment horizontal="left" indent="1"/>
    </xf>
    <xf numFmtId="165" fontId="0" fillId="0" borderId="0" xfId="0" quotePrefix="1" applyNumberFormat="1"/>
    <xf numFmtId="0" fontId="37" fillId="7" borderId="6" xfId="0" applyFont="1" applyFill="1" applyBorder="1"/>
    <xf numFmtId="3" fontId="37" fillId="7" borderId="6" xfId="0" quotePrefix="1" applyNumberFormat="1" applyFont="1" applyFill="1" applyBorder="1" applyAlignment="1">
      <alignment horizontal="right"/>
    </xf>
    <xf numFmtId="165" fontId="1" fillId="0" borderId="9" xfId="0" applyNumberFormat="1" applyFont="1" applyBorder="1"/>
    <xf numFmtId="165" fontId="1" fillId="0" borderId="10" xfId="0" applyNumberFormat="1" applyFont="1" applyBorder="1"/>
    <xf numFmtId="0" fontId="1" fillId="0" borderId="7" xfId="0" applyFont="1" applyBorder="1"/>
    <xf numFmtId="165" fontId="1" fillId="0" borderId="11" xfId="0" applyNumberFormat="1" applyFont="1" applyBorder="1"/>
    <xf numFmtId="0" fontId="1" fillId="0" borderId="7" xfId="0" applyFont="1" applyBorder="1" applyAlignment="1">
      <alignment horizontal="left" indent="2"/>
    </xf>
    <xf numFmtId="0" fontId="0" fillId="0" borderId="12" xfId="0" applyBorder="1" applyAlignment="1">
      <alignment horizontal="left" indent="2"/>
    </xf>
    <xf numFmtId="0" fontId="0" fillId="0" borderId="13" xfId="0" applyBorder="1" applyAlignment="1">
      <alignment horizontal="left" indent="2"/>
    </xf>
    <xf numFmtId="0" fontId="0" fillId="0" borderId="13" xfId="0" applyBorder="1" applyAlignment="1">
      <alignment horizontal="left" indent="1"/>
    </xf>
    <xf numFmtId="0" fontId="0" fillId="0" borderId="14" xfId="0" applyBorder="1" applyAlignment="1">
      <alignment horizontal="left" indent="2"/>
    </xf>
    <xf numFmtId="165" fontId="0" fillId="0" borderId="15" xfId="0" applyNumberFormat="1" applyBorder="1"/>
    <xf numFmtId="165" fontId="0" fillId="0" borderId="16" xfId="0" applyNumberFormat="1" applyBorder="1"/>
    <xf numFmtId="0" fontId="0" fillId="0" borderId="17" xfId="0" applyBorder="1" applyAlignment="1">
      <alignment horizontal="left" indent="2"/>
    </xf>
    <xf numFmtId="165" fontId="0" fillId="0" borderId="18" xfId="0" applyNumberFormat="1" applyBorder="1"/>
    <xf numFmtId="165" fontId="0" fillId="0" borderId="19" xfId="0" applyNumberFormat="1" applyBorder="1"/>
    <xf numFmtId="165" fontId="0" fillId="0" borderId="20" xfId="0" applyNumberFormat="1" applyBorder="1"/>
    <xf numFmtId="165" fontId="0" fillId="0" borderId="21" xfId="0" applyNumberFormat="1" applyBorder="1"/>
    <xf numFmtId="165" fontId="0" fillId="0" borderId="14" xfId="0" applyNumberFormat="1" applyBorder="1"/>
    <xf numFmtId="165" fontId="0" fillId="0" borderId="17" xfId="0" applyNumberFormat="1" applyBorder="1"/>
    <xf numFmtId="0" fontId="1" fillId="0" borderId="7" xfId="0" applyFont="1" applyBorder="1" applyAlignment="1">
      <alignment horizontal="left"/>
    </xf>
    <xf numFmtId="165" fontId="1" fillId="0" borderId="8" xfId="0" applyNumberFormat="1" applyFont="1" applyBorder="1"/>
    <xf numFmtId="0" fontId="0" fillId="0" borderId="12" xfId="0" applyBorder="1" applyAlignment="1">
      <alignment horizontal="left" indent="1"/>
    </xf>
    <xf numFmtId="10" fontId="0" fillId="0" borderId="13" xfId="0" applyNumberFormat="1" applyBorder="1" applyAlignment="1">
      <alignment horizontal="left" indent="1"/>
    </xf>
    <xf numFmtId="10" fontId="0" fillId="0" borderId="13" xfId="0" quotePrefix="1" applyNumberFormat="1" applyBorder="1" applyAlignment="1">
      <alignment horizontal="left" indent="1"/>
    </xf>
    <xf numFmtId="10" fontId="0" fillId="0" borderId="17" xfId="0" applyNumberFormat="1" applyBorder="1"/>
    <xf numFmtId="10" fontId="0" fillId="0" borderId="18" xfId="0" applyNumberFormat="1" applyBorder="1"/>
    <xf numFmtId="10" fontId="0" fillId="0" borderId="19" xfId="0" applyNumberFormat="1" applyBorder="1"/>
    <xf numFmtId="0" fontId="0" fillId="0" borderId="7" xfId="0" applyBorder="1" applyAlignment="1">
      <alignment horizontal="left" indent="1"/>
    </xf>
    <xf numFmtId="165" fontId="0" fillId="0" borderId="8" xfId="0" applyNumberFormat="1" applyBorder="1"/>
    <xf numFmtId="165" fontId="0" fillId="0" borderId="9" xfId="0" applyNumberFormat="1" applyBorder="1"/>
    <xf numFmtId="165" fontId="0" fillId="0" borderId="10" xfId="0" applyNumberFormat="1" applyBorder="1"/>
    <xf numFmtId="0" fontId="0" fillId="0" borderId="7" xfId="0" applyBorder="1"/>
    <xf numFmtId="0" fontId="0" fillId="0" borderId="13" xfId="0" applyBorder="1"/>
    <xf numFmtId="0" fontId="1" fillId="0" borderId="7" xfId="0" applyFont="1" applyBorder="1" applyAlignment="1">
      <alignment horizontal="left" indent="1"/>
    </xf>
    <xf numFmtId="0" fontId="0" fillId="0" borderId="12" xfId="0" applyBorder="1"/>
    <xf numFmtId="0" fontId="37" fillId="6" borderId="22" xfId="0" applyFont="1" applyFill="1" applyBorder="1" applyAlignment="1">
      <alignment horizontal="left"/>
    </xf>
    <xf numFmtId="0" fontId="37" fillId="6" borderId="4" xfId="0" applyFont="1" applyFill="1" applyBorder="1" applyAlignment="1">
      <alignment horizontal="left"/>
    </xf>
    <xf numFmtId="165" fontId="37" fillId="6" borderId="4" xfId="0" applyNumberFormat="1" applyFont="1" applyFill="1" applyBorder="1"/>
    <xf numFmtId="165" fontId="37" fillId="6" borderId="2" xfId="0" applyNumberFormat="1" applyFont="1" applyFill="1" applyBorder="1"/>
    <xf numFmtId="0" fontId="1" fillId="0" borderId="23" xfId="0" applyFont="1" applyBorder="1" applyAlignment="1">
      <alignment horizontal="left" indent="1"/>
    </xf>
    <xf numFmtId="0" fontId="1" fillId="0" borderId="23" xfId="0" applyFont="1" applyBorder="1" applyAlignment="1">
      <alignment horizontal="left" indent="2"/>
    </xf>
    <xf numFmtId="165" fontId="1" fillId="0" borderId="24" xfId="0" applyNumberFormat="1" applyFont="1" applyBorder="1"/>
    <xf numFmtId="165" fontId="1" fillId="0" borderId="25" xfId="0" applyNumberFormat="1" applyFont="1" applyBorder="1"/>
    <xf numFmtId="165" fontId="1" fillId="0" borderId="26" xfId="0" applyNumberFormat="1" applyFont="1" applyBorder="1"/>
    <xf numFmtId="165" fontId="1" fillId="0" borderId="27" xfId="0" applyNumberFormat="1" applyFont="1" applyBorder="1"/>
    <xf numFmtId="0" fontId="1" fillId="0" borderId="23" xfId="0" applyFont="1" applyBorder="1"/>
    <xf numFmtId="0" fontId="1" fillId="0" borderId="27" xfId="0" applyFont="1" applyBorder="1" applyAlignment="1">
      <alignment horizontal="left" indent="2"/>
    </xf>
    <xf numFmtId="0" fontId="0" fillId="0" borderId="28" xfId="0" applyBorder="1" applyAlignment="1">
      <alignment horizontal="left" indent="1"/>
    </xf>
    <xf numFmtId="0" fontId="0" fillId="0" borderId="29" xfId="0" applyBorder="1" applyAlignment="1">
      <alignment horizontal="left" indent="2"/>
    </xf>
    <xf numFmtId="165" fontId="0" fillId="0" borderId="30" xfId="0" applyNumberFormat="1" applyBorder="1"/>
    <xf numFmtId="165" fontId="0" fillId="0" borderId="31" xfId="0" applyNumberFormat="1" applyBorder="1"/>
    <xf numFmtId="3" fontId="6" fillId="3" borderId="7" xfId="0" applyNumberFormat="1" applyFont="1" applyFill="1" applyBorder="1"/>
    <xf numFmtId="3" fontId="6" fillId="3" borderId="7" xfId="0" applyNumberFormat="1" applyFont="1" applyFill="1" applyBorder="1" applyAlignment="1">
      <alignment horizontal="center"/>
    </xf>
    <xf numFmtId="3" fontId="38" fillId="0" borderId="0" xfId="0" applyNumberFormat="1" applyFont="1"/>
    <xf numFmtId="3" fontId="39" fillId="0" borderId="7" xfId="11" applyNumberFormat="1" applyFont="1" applyBorder="1" applyAlignment="1">
      <alignment vertical="top" wrapText="1"/>
    </xf>
    <xf numFmtId="3" fontId="39" fillId="0" borderId="7" xfId="11" applyNumberFormat="1" applyFont="1" applyBorder="1" applyAlignment="1">
      <alignment horizontal="center" vertical="top" wrapText="1"/>
    </xf>
    <xf numFmtId="3" fontId="38" fillId="0" borderId="7" xfId="12" applyNumberFormat="1" applyFont="1" applyBorder="1" applyAlignment="1">
      <alignment horizontal="right"/>
    </xf>
    <xf numFmtId="3" fontId="38" fillId="0" borderId="7" xfId="0" applyNumberFormat="1" applyFont="1" applyBorder="1" applyAlignment="1">
      <alignment horizontal="right"/>
    </xf>
    <xf numFmtId="3" fontId="38" fillId="0" borderId="7" xfId="2" applyNumberFormat="1" applyFont="1" applyBorder="1" applyAlignment="1">
      <alignment horizontal="right"/>
    </xf>
    <xf numFmtId="3" fontId="39" fillId="0" borderId="7" xfId="11" applyNumberFormat="1" applyFont="1" applyBorder="1" applyAlignment="1">
      <alignment vertical="top"/>
    </xf>
    <xf numFmtId="3" fontId="39" fillId="0" borderId="7" xfId="11" applyNumberFormat="1" applyFont="1" applyBorder="1" applyAlignment="1">
      <alignment horizontal="center" vertical="top"/>
    </xf>
    <xf numFmtId="3" fontId="38" fillId="0" borderId="7" xfId="0" applyNumberFormat="1" applyFont="1" applyBorder="1"/>
    <xf numFmtId="3" fontId="38" fillId="0" borderId="7" xfId="0" applyNumberFormat="1" applyFont="1" applyBorder="1" applyAlignment="1">
      <alignment horizontal="center"/>
    </xf>
    <xf numFmtId="3" fontId="39" fillId="0" borderId="7" xfId="12" applyNumberFormat="1" applyFont="1" applyBorder="1" applyAlignment="1">
      <alignment horizontal="right" vertical="center"/>
    </xf>
    <xf numFmtId="10" fontId="38" fillId="0" borderId="0" xfId="1" applyNumberFormat="1" applyFont="1"/>
    <xf numFmtId="0" fontId="0" fillId="0" borderId="32" xfId="0" applyBorder="1"/>
    <xf numFmtId="165" fontId="0" fillId="0" borderId="7" xfId="0" applyNumberFormat="1" applyBorder="1"/>
    <xf numFmtId="165" fontId="0" fillId="0" borderId="13" xfId="0" applyNumberFormat="1" applyBorder="1"/>
    <xf numFmtId="165" fontId="0" fillId="0" borderId="33" xfId="0" applyNumberFormat="1" applyBorder="1"/>
    <xf numFmtId="165" fontId="0" fillId="0" borderId="34" xfId="0" applyNumberFormat="1" applyBorder="1"/>
    <xf numFmtId="165" fontId="0" fillId="0" borderId="35" xfId="0" applyNumberFormat="1" applyBorder="1"/>
    <xf numFmtId="3" fontId="0" fillId="0" borderId="14" xfId="0" applyNumberFormat="1" applyBorder="1"/>
    <xf numFmtId="3" fontId="0" fillId="0" borderId="15" xfId="0" applyNumberFormat="1" applyBorder="1"/>
    <xf numFmtId="3" fontId="0" fillId="0" borderId="16" xfId="0" applyNumberFormat="1" applyBorder="1"/>
    <xf numFmtId="165" fontId="1" fillId="0" borderId="7" xfId="0" applyNumberFormat="1" applyFont="1" applyBorder="1"/>
    <xf numFmtId="0" fontId="1" fillId="0" borderId="13" xfId="0" applyFont="1" applyBorder="1"/>
    <xf numFmtId="10" fontId="0" fillId="0" borderId="15" xfId="0" applyNumberFormat="1" applyBorder="1"/>
    <xf numFmtId="10" fontId="0" fillId="0" borderId="16" xfId="0" applyNumberFormat="1" applyBorder="1"/>
    <xf numFmtId="0" fontId="37" fillId="8" borderId="36" xfId="0" applyFont="1" applyFill="1" applyBorder="1"/>
    <xf numFmtId="3" fontId="37" fillId="8" borderId="36" xfId="0" quotePrefix="1" applyNumberFormat="1" applyFont="1" applyFill="1" applyBorder="1" applyAlignment="1">
      <alignment horizontal="right"/>
    </xf>
    <xf numFmtId="165" fontId="0" fillId="0" borderId="37" xfId="0" applyNumberFormat="1" applyBorder="1"/>
    <xf numFmtId="165" fontId="0" fillId="0" borderId="12" xfId="0" applyNumberFormat="1" applyBorder="1"/>
    <xf numFmtId="0" fontId="0" fillId="0" borderId="38" xfId="0" applyBorder="1"/>
    <xf numFmtId="0" fontId="0" fillId="0" borderId="39" xfId="0" applyBorder="1"/>
    <xf numFmtId="0" fontId="1" fillId="0" borderId="22" xfId="0" applyFont="1" applyBorder="1"/>
    <xf numFmtId="10" fontId="0" fillId="0" borderId="39" xfId="0" applyNumberFormat="1" applyBorder="1"/>
    <xf numFmtId="10" fontId="0" fillId="0" borderId="20" xfId="0" applyNumberFormat="1" applyBorder="1"/>
    <xf numFmtId="10" fontId="0" fillId="0" borderId="12" xfId="0" applyNumberFormat="1" applyBorder="1"/>
    <xf numFmtId="165" fontId="0" fillId="0" borderId="12" xfId="0" applyNumberFormat="1" applyBorder="1" applyAlignment="1">
      <alignment horizontal="left" indent="1"/>
    </xf>
    <xf numFmtId="165" fontId="0" fillId="0" borderId="13" xfId="0" applyNumberFormat="1" applyBorder="1" applyAlignment="1">
      <alignment horizontal="left" indent="1"/>
    </xf>
    <xf numFmtId="3" fontId="3" fillId="0" borderId="0" xfId="0" applyNumberFormat="1" applyFont="1"/>
    <xf numFmtId="3" fontId="1" fillId="0" borderId="13" xfId="0" applyNumberFormat="1" applyFont="1" applyBorder="1"/>
    <xf numFmtId="0" fontId="1" fillId="0" borderId="32" xfId="0" applyFont="1" applyBorder="1"/>
    <xf numFmtId="3" fontId="0" fillId="0" borderId="7" xfId="0" applyNumberFormat="1" applyBorder="1"/>
    <xf numFmtId="0" fontId="0" fillId="0" borderId="5" xfId="0" applyBorder="1"/>
    <xf numFmtId="3" fontId="0" fillId="0" borderId="4" xfId="0" applyNumberFormat="1" applyBorder="1"/>
    <xf numFmtId="0" fontId="0" fillId="0" borderId="40" xfId="0" applyBorder="1"/>
    <xf numFmtId="165" fontId="0" fillId="0" borderId="4" xfId="0" applyNumberFormat="1" applyBorder="1"/>
    <xf numFmtId="3" fontId="40" fillId="0" borderId="0" xfId="0" applyNumberFormat="1" applyFont="1"/>
    <xf numFmtId="10" fontId="0" fillId="0" borderId="34" xfId="0" applyNumberFormat="1" applyBorder="1"/>
    <xf numFmtId="10" fontId="0" fillId="0" borderId="35" xfId="0" applyNumberFormat="1" applyBorder="1"/>
    <xf numFmtId="10" fontId="1" fillId="0" borderId="9" xfId="0" applyNumberFormat="1" applyFont="1" applyBorder="1"/>
    <xf numFmtId="10" fontId="1" fillId="0" borderId="10" xfId="0" applyNumberFormat="1" applyFont="1" applyBorder="1"/>
    <xf numFmtId="10" fontId="1" fillId="0" borderId="11" xfId="0" applyNumberFormat="1" applyFont="1" applyBorder="1"/>
    <xf numFmtId="10" fontId="0" fillId="0" borderId="21" xfId="0" applyNumberFormat="1" applyBorder="1"/>
    <xf numFmtId="0" fontId="38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vertical="center"/>
    </xf>
    <xf numFmtId="3" fontId="1" fillId="0" borderId="0" xfId="0" applyNumberFormat="1" applyFont="1" applyAlignment="1">
      <alignment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11" fontId="0" fillId="0" borderId="0" xfId="0" applyNumberFormat="1" applyAlignment="1">
      <alignment horizontal="left" vertical="center"/>
    </xf>
    <xf numFmtId="165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10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right"/>
    </xf>
    <xf numFmtId="3" fontId="1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10" fontId="1" fillId="0" borderId="0" xfId="0" applyNumberFormat="1" applyFont="1" applyAlignment="1">
      <alignment horizontal="center"/>
    </xf>
    <xf numFmtId="10" fontId="0" fillId="0" borderId="0" xfId="0" applyNumberFormat="1" applyAlignment="1">
      <alignment horizontal="center"/>
    </xf>
    <xf numFmtId="10" fontId="31" fillId="0" borderId="0" xfId="0" applyNumberFormat="1" applyFont="1" applyAlignment="1">
      <alignment horizontal="center"/>
    </xf>
    <xf numFmtId="165" fontId="31" fillId="0" borderId="15" xfId="0" applyNumberFormat="1" applyFont="1" applyBorder="1"/>
    <xf numFmtId="165" fontId="1" fillId="0" borderId="0" xfId="0" quotePrefix="1" applyNumberFormat="1" applyFont="1" applyAlignment="1">
      <alignment horizontal="right"/>
    </xf>
    <xf numFmtId="165" fontId="31" fillId="0" borderId="0" xfId="0" applyNumberFormat="1" applyFont="1"/>
    <xf numFmtId="4" fontId="0" fillId="0" borderId="0" xfId="0" applyNumberFormat="1" applyAlignment="1">
      <alignment horizontal="left" indent="1"/>
    </xf>
    <xf numFmtId="0" fontId="37" fillId="0" borderId="0" xfId="0" applyFont="1"/>
    <xf numFmtId="0" fontId="1" fillId="0" borderId="0" xfId="0" applyFont="1" applyAlignment="1">
      <alignment horizontal="left"/>
    </xf>
    <xf numFmtId="10" fontId="0" fillId="0" borderId="0" xfId="0" applyNumberFormat="1" applyAlignment="1">
      <alignment horizontal="left"/>
    </xf>
    <xf numFmtId="171" fontId="10" fillId="0" borderId="0" xfId="2" applyNumberFormat="1" applyFont="1"/>
    <xf numFmtId="0" fontId="0" fillId="9" borderId="7" xfId="0" applyFill="1" applyBorder="1" applyAlignment="1">
      <alignment horizontal="center"/>
    </xf>
    <xf numFmtId="0" fontId="38" fillId="0" borderId="0" xfId="0" applyFont="1" applyAlignment="1">
      <alignment horizontal="center"/>
    </xf>
    <xf numFmtId="165" fontId="38" fillId="0" borderId="0" xfId="0" applyNumberFormat="1" applyFont="1" applyAlignment="1">
      <alignment horizontal="center"/>
    </xf>
    <xf numFmtId="165" fontId="38" fillId="0" borderId="0" xfId="0" applyNumberFormat="1" applyFont="1"/>
    <xf numFmtId="172" fontId="0" fillId="0" borderId="0" xfId="0" applyNumberFormat="1"/>
    <xf numFmtId="165" fontId="0" fillId="0" borderId="0" xfId="1" applyNumberFormat="1" applyFont="1"/>
    <xf numFmtId="165" fontId="0" fillId="0" borderId="0" xfId="0" applyNumberFormat="1" applyAlignment="1">
      <alignment horizontal="left"/>
    </xf>
    <xf numFmtId="9" fontId="0" fillId="0" borderId="0" xfId="0" applyNumberFormat="1" applyAlignment="1">
      <alignment horizontal="left"/>
    </xf>
    <xf numFmtId="9" fontId="0" fillId="0" borderId="0" xfId="1" applyFont="1"/>
    <xf numFmtId="10" fontId="4" fillId="0" borderId="41" xfId="0" applyNumberFormat="1" applyFont="1" applyBorder="1"/>
    <xf numFmtId="165" fontId="3" fillId="0" borderId="0" xfId="0" applyNumberFormat="1" applyFont="1" applyAlignment="1">
      <alignment horizontal="left" indent="2"/>
    </xf>
    <xf numFmtId="3" fontId="4" fillId="0" borderId="13" xfId="0" applyNumberFormat="1" applyFont="1" applyBorder="1"/>
    <xf numFmtId="165" fontId="41" fillId="0" borderId="15" xfId="0" applyNumberFormat="1" applyFont="1" applyBorder="1"/>
    <xf numFmtId="165" fontId="42" fillId="0" borderId="7" xfId="0" applyNumberFormat="1" applyFont="1" applyBorder="1"/>
    <xf numFmtId="10" fontId="41" fillId="0" borderId="0" xfId="0" applyNumberFormat="1" applyFont="1"/>
    <xf numFmtId="3" fontId="41" fillId="0" borderId="0" xfId="0" applyNumberFormat="1" applyFont="1"/>
    <xf numFmtId="165" fontId="41" fillId="0" borderId="0" xfId="0" applyNumberFormat="1" applyFont="1"/>
    <xf numFmtId="0" fontId="1" fillId="0" borderId="0" xfId="0" quotePrefix="1" applyFont="1"/>
    <xf numFmtId="10" fontId="40" fillId="0" borderId="0" xfId="0" applyNumberFormat="1" applyFont="1"/>
    <xf numFmtId="173" fontId="4" fillId="0" borderId="41" xfId="0" applyNumberFormat="1" applyFont="1" applyBorder="1"/>
    <xf numFmtId="3" fontId="1" fillId="0" borderId="0" xfId="0" applyNumberFormat="1" applyFont="1" applyAlignment="1">
      <alignment vertical="center" wrapText="1"/>
    </xf>
    <xf numFmtId="3" fontId="1" fillId="0" borderId="0" xfId="0" quotePrefix="1" applyNumberFormat="1" applyFont="1" applyAlignment="1">
      <alignment horizontal="right" vertical="center" wrapText="1"/>
    </xf>
    <xf numFmtId="4" fontId="31" fillId="0" borderId="0" xfId="0" applyNumberFormat="1" applyFont="1"/>
    <xf numFmtId="3" fontId="0" fillId="0" borderId="5" xfId="0" applyNumberFormat="1" applyBorder="1" applyAlignment="1">
      <alignment horizontal="center"/>
    </xf>
    <xf numFmtId="4" fontId="0" fillId="0" borderId="5" xfId="0" applyNumberFormat="1" applyBorder="1"/>
    <xf numFmtId="165" fontId="0" fillId="0" borderId="42" xfId="0" applyNumberFormat="1" applyBorder="1"/>
    <xf numFmtId="165" fontId="1" fillId="0" borderId="23" xfId="0" applyNumberFormat="1" applyFont="1" applyBorder="1"/>
    <xf numFmtId="165" fontId="0" fillId="0" borderId="28" xfId="0" applyNumberFormat="1" applyBorder="1"/>
    <xf numFmtId="165" fontId="0" fillId="0" borderId="43" xfId="0" applyNumberFormat="1" applyBorder="1"/>
    <xf numFmtId="10" fontId="0" fillId="0" borderId="28" xfId="0" applyNumberFormat="1" applyBorder="1"/>
    <xf numFmtId="10" fontId="0" fillId="0" borderId="43" xfId="0" applyNumberFormat="1" applyBorder="1"/>
    <xf numFmtId="10" fontId="42" fillId="0" borderId="0" xfId="0" applyNumberFormat="1" applyFont="1"/>
    <xf numFmtId="10" fontId="5" fillId="0" borderId="0" xfId="0" applyNumberFormat="1" applyFont="1"/>
    <xf numFmtId="10" fontId="41" fillId="0" borderId="1" xfId="0" applyNumberFormat="1" applyFont="1" applyBorder="1"/>
    <xf numFmtId="3" fontId="0" fillId="0" borderId="0" xfId="0" applyNumberFormat="1" applyAlignment="1">
      <alignment horizontal="left" indent="2"/>
    </xf>
    <xf numFmtId="165" fontId="4" fillId="0" borderId="7" xfId="0" applyNumberFormat="1" applyFont="1" applyBorder="1"/>
    <xf numFmtId="165" fontId="0" fillId="0" borderId="5" xfId="0" applyNumberFormat="1" applyBorder="1"/>
    <xf numFmtId="0" fontId="35" fillId="0" borderId="40" xfId="0" applyFont="1" applyBorder="1"/>
    <xf numFmtId="165" fontId="35" fillId="0" borderId="40" xfId="0" applyNumberFormat="1" applyFont="1" applyBorder="1"/>
    <xf numFmtId="174" fontId="4" fillId="0" borderId="41" xfId="0" applyNumberFormat="1" applyFont="1" applyBorder="1"/>
    <xf numFmtId="3" fontId="1" fillId="0" borderId="0" xfId="0" quotePrefix="1" applyNumberFormat="1" applyFont="1" applyAlignment="1">
      <alignment horizontal="right"/>
    </xf>
    <xf numFmtId="0" fontId="1" fillId="0" borderId="0" xfId="0" applyFont="1" applyAlignment="1">
      <alignment vertical="center" wrapText="1"/>
    </xf>
    <xf numFmtId="10" fontId="0" fillId="0" borderId="0" xfId="0" applyNumberFormat="1" applyAlignment="1">
      <alignment vertical="center"/>
    </xf>
    <xf numFmtId="1" fontId="0" fillId="0" borderId="0" xfId="1" applyNumberFormat="1" applyFont="1"/>
    <xf numFmtId="1" fontId="0" fillId="0" borderId="0" xfId="0" applyNumberFormat="1"/>
    <xf numFmtId="0" fontId="1" fillId="0" borderId="7" xfId="0" applyFont="1" applyBorder="1" applyAlignment="1">
      <alignment vertical="center" wrapText="1"/>
    </xf>
    <xf numFmtId="0" fontId="0" fillId="0" borderId="7" xfId="0" applyBorder="1" applyAlignment="1">
      <alignment horizontal="right"/>
    </xf>
    <xf numFmtId="9" fontId="0" fillId="0" borderId="7" xfId="0" applyNumberFormat="1" applyBorder="1" applyAlignment="1">
      <alignment vertical="center"/>
    </xf>
    <xf numFmtId="0" fontId="0" fillId="9" borderId="7" xfId="0" applyFill="1" applyBorder="1" applyAlignment="1">
      <alignment vertical="center" wrapText="1"/>
    </xf>
    <xf numFmtId="165" fontId="0" fillId="9" borderId="7" xfId="0" applyNumberFormat="1" applyFill="1" applyBorder="1"/>
    <xf numFmtId="0" fontId="0" fillId="9" borderId="7" xfId="0" applyFill="1" applyBorder="1" applyAlignment="1">
      <alignment vertical="center"/>
    </xf>
    <xf numFmtId="9" fontId="0" fillId="9" borderId="7" xfId="0" applyNumberFormat="1" applyFill="1" applyBorder="1" applyAlignment="1">
      <alignment vertical="center"/>
    </xf>
    <xf numFmtId="3" fontId="0" fillId="9" borderId="7" xfId="0" applyNumberFormat="1" applyFill="1" applyBorder="1"/>
    <xf numFmtId="0" fontId="0" fillId="0" borderId="7" xfId="0" applyBorder="1" applyAlignment="1">
      <alignment vertical="center" wrapText="1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horizontal="right" vertical="center"/>
    </xf>
    <xf numFmtId="165" fontId="0" fillId="9" borderId="7" xfId="0" applyNumberFormat="1" applyFill="1" applyBorder="1" applyAlignment="1">
      <alignment vertical="center"/>
    </xf>
    <xf numFmtId="3" fontId="0" fillId="9" borderId="7" xfId="0" applyNumberFormat="1" applyFill="1" applyBorder="1" applyAlignment="1">
      <alignment vertical="center"/>
    </xf>
    <xf numFmtId="165" fontId="0" fillId="0" borderId="7" xfId="0" applyNumberFormat="1" applyBorder="1" applyAlignment="1">
      <alignment vertical="center"/>
    </xf>
    <xf numFmtId="3" fontId="0" fillId="0" borderId="7" xfId="0" applyNumberFormat="1" applyBorder="1" applyAlignment="1">
      <alignment vertical="center"/>
    </xf>
    <xf numFmtId="4" fontId="3" fillId="0" borderId="0" xfId="0" applyNumberFormat="1" applyFont="1"/>
    <xf numFmtId="4" fontId="42" fillId="0" borderId="0" xfId="0" applyNumberFormat="1" applyFont="1"/>
    <xf numFmtId="165" fontId="4" fillId="0" borderId="41" xfId="0" applyNumberFormat="1" applyFont="1" applyBorder="1"/>
    <xf numFmtId="0" fontId="36" fillId="0" borderId="0" xfId="0" applyFont="1"/>
    <xf numFmtId="165" fontId="36" fillId="0" borderId="7" xfId="0" applyNumberFormat="1" applyFont="1" applyBorder="1"/>
    <xf numFmtId="165" fontId="36" fillId="0" borderId="11" xfId="0" applyNumberFormat="1" applyFont="1" applyBorder="1"/>
    <xf numFmtId="165" fontId="36" fillId="0" borderId="9" xfId="0" applyNumberFormat="1" applyFont="1" applyBorder="1"/>
    <xf numFmtId="165" fontId="36" fillId="0" borderId="10" xfId="0" applyNumberFormat="1" applyFont="1" applyBorder="1"/>
    <xf numFmtId="0" fontId="1" fillId="0" borderId="32" xfId="0" applyFont="1" applyBorder="1" applyAlignment="1">
      <alignment horizontal="left" indent="2"/>
    </xf>
    <xf numFmtId="165" fontId="1" fillId="0" borderId="33" xfId="0" applyNumberFormat="1" applyFont="1" applyBorder="1"/>
    <xf numFmtId="165" fontId="1" fillId="0" borderId="34" xfId="0" applyNumberFormat="1" applyFont="1" applyBorder="1"/>
    <xf numFmtId="165" fontId="1" fillId="0" borderId="35" xfId="0" applyNumberFormat="1" applyFont="1" applyBorder="1"/>
    <xf numFmtId="165" fontId="1" fillId="0" borderId="32" xfId="0" applyNumberFormat="1" applyFont="1" applyBorder="1"/>
    <xf numFmtId="0" fontId="0" fillId="0" borderId="32" xfId="0" applyBorder="1" applyAlignment="1">
      <alignment horizontal="left" indent="2"/>
    </xf>
    <xf numFmtId="165" fontId="0" fillId="0" borderId="44" xfId="0" applyNumberFormat="1" applyBorder="1"/>
    <xf numFmtId="165" fontId="0" fillId="0" borderId="32" xfId="0" applyNumberFormat="1" applyBorder="1"/>
    <xf numFmtId="171" fontId="0" fillId="0" borderId="45" xfId="0" applyNumberFormat="1" applyBorder="1"/>
    <xf numFmtId="171" fontId="0" fillId="0" borderId="46" xfId="0" applyNumberFormat="1" applyBorder="1"/>
    <xf numFmtId="171" fontId="0" fillId="0" borderId="47" xfId="0" applyNumberFormat="1" applyBorder="1"/>
    <xf numFmtId="171" fontId="1" fillId="0" borderId="7" xfId="0" applyNumberFormat="1" applyFont="1" applyBorder="1"/>
    <xf numFmtId="171" fontId="0" fillId="0" borderId="32" xfId="0" applyNumberFormat="1" applyBorder="1"/>
    <xf numFmtId="171" fontId="0" fillId="0" borderId="12" xfId="0" applyNumberFormat="1" applyBorder="1"/>
    <xf numFmtId="171" fontId="0" fillId="0" borderId="13" xfId="0" applyNumberFormat="1" applyBorder="1"/>
    <xf numFmtId="10" fontId="38" fillId="0" borderId="0" xfId="0" applyNumberFormat="1" applyFont="1"/>
    <xf numFmtId="0" fontId="37" fillId="6" borderId="0" xfId="0" applyFont="1" applyFill="1"/>
    <xf numFmtId="3" fontId="37" fillId="6" borderId="6" xfId="0" quotePrefix="1" applyNumberFormat="1" applyFont="1" applyFill="1" applyBorder="1" applyAlignment="1">
      <alignment horizontal="right"/>
    </xf>
    <xf numFmtId="0" fontId="37" fillId="6" borderId="6" xfId="0" applyFont="1" applyFill="1" applyBorder="1" applyAlignment="1">
      <alignment horizontal="left"/>
    </xf>
    <xf numFmtId="3" fontId="0" fillId="0" borderId="0" xfId="1" applyNumberFormat="1" applyFont="1"/>
    <xf numFmtId="0" fontId="0" fillId="10" borderId="0" xfId="0" applyFill="1"/>
    <xf numFmtId="0" fontId="0" fillId="11" borderId="0" xfId="0" applyFill="1"/>
    <xf numFmtId="0" fontId="47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48" fillId="11" borderId="49" xfId="0" quotePrefix="1" applyFont="1" applyFill="1" applyBorder="1" applyAlignment="1">
      <alignment horizontal="right" vertical="center"/>
    </xf>
    <xf numFmtId="0" fontId="48" fillId="11" borderId="50" xfId="0" quotePrefix="1" applyFont="1" applyFill="1" applyBorder="1" applyAlignment="1">
      <alignment horizontal="right" vertical="center"/>
    </xf>
    <xf numFmtId="0" fontId="55" fillId="0" borderId="48" xfId="0" applyFont="1" applyBorder="1" applyAlignment="1">
      <alignment vertical="center"/>
    </xf>
    <xf numFmtId="165" fontId="55" fillId="0" borderId="48" xfId="0" applyNumberFormat="1" applyFont="1" applyBorder="1" applyAlignment="1">
      <alignment vertical="center"/>
    </xf>
    <xf numFmtId="0" fontId="53" fillId="10" borderId="48" xfId="0" applyFont="1" applyFill="1" applyBorder="1" applyAlignment="1">
      <alignment vertical="center"/>
    </xf>
    <xf numFmtId="165" fontId="53" fillId="10" borderId="48" xfId="0" applyNumberFormat="1" applyFont="1" applyFill="1" applyBorder="1" applyAlignment="1">
      <alignment vertical="center"/>
    </xf>
    <xf numFmtId="0" fontId="54" fillId="0" borderId="52" xfId="0" applyFont="1" applyBorder="1"/>
    <xf numFmtId="0" fontId="54" fillId="0" borderId="52" xfId="0" applyFont="1" applyBorder="1" applyAlignment="1">
      <alignment horizontal="center"/>
    </xf>
    <xf numFmtId="9" fontId="45" fillId="11" borderId="49" xfId="1" quotePrefix="1" applyFont="1" applyFill="1" applyBorder="1" applyAlignment="1">
      <alignment horizontal="right" vertical="center"/>
    </xf>
    <xf numFmtId="9" fontId="56" fillId="0" borderId="48" xfId="1" applyFont="1" applyBorder="1" applyAlignment="1">
      <alignment vertical="center"/>
    </xf>
    <xf numFmtId="9" fontId="52" fillId="10" borderId="48" xfId="1" applyFont="1" applyFill="1" applyBorder="1" applyAlignment="1">
      <alignment vertical="center"/>
    </xf>
    <xf numFmtId="9" fontId="46" fillId="0" borderId="0" xfId="1" applyFont="1"/>
    <xf numFmtId="0" fontId="55" fillId="0" borderId="48" xfId="0" applyFont="1" applyBorder="1" applyAlignment="1">
      <alignment horizontal="left" vertical="center" indent="1"/>
    </xf>
    <xf numFmtId="0" fontId="55" fillId="0" borderId="0" xfId="0" applyFont="1"/>
    <xf numFmtId="9" fontId="55" fillId="0" borderId="0" xfId="1" applyFont="1"/>
    <xf numFmtId="9" fontId="50" fillId="0" borderId="0" xfId="1" applyFont="1"/>
    <xf numFmtId="0" fontId="50" fillId="0" borderId="0" xfId="0" applyFont="1"/>
    <xf numFmtId="0" fontId="55" fillId="0" borderId="0" xfId="0" applyFont="1" applyAlignment="1">
      <alignment horizontal="left" indent="1"/>
    </xf>
    <xf numFmtId="0" fontId="53" fillId="12" borderId="0" xfId="0" applyFont="1" applyFill="1"/>
    <xf numFmtId="9" fontId="53" fillId="12" borderId="0" xfId="1" applyFont="1" applyFill="1"/>
    <xf numFmtId="9" fontId="51" fillId="12" borderId="0" xfId="1" applyFont="1" applyFill="1"/>
    <xf numFmtId="0" fontId="51" fillId="0" borderId="0" xfId="0" applyFont="1"/>
    <xf numFmtId="9" fontId="51" fillId="0" borderId="0" xfId="1" applyFont="1"/>
    <xf numFmtId="0" fontId="48" fillId="11" borderId="53" xfId="0" quotePrefix="1" applyFont="1" applyFill="1" applyBorder="1" applyAlignment="1">
      <alignment horizontal="right" vertical="center"/>
    </xf>
    <xf numFmtId="0" fontId="53" fillId="12" borderId="48" xfId="0" applyFont="1" applyFill="1" applyBorder="1"/>
    <xf numFmtId="9" fontId="53" fillId="12" borderId="48" xfId="0" applyNumberFormat="1" applyFont="1" applyFill="1" applyBorder="1"/>
    <xf numFmtId="3" fontId="48" fillId="11" borderId="51" xfId="0" quotePrefix="1" applyNumberFormat="1" applyFont="1" applyFill="1" applyBorder="1" applyAlignment="1">
      <alignment horizontal="right" vertical="center"/>
    </xf>
    <xf numFmtId="3" fontId="48" fillId="11" borderId="50" xfId="0" quotePrefix="1" applyNumberFormat="1" applyFont="1" applyFill="1" applyBorder="1" applyAlignment="1">
      <alignment horizontal="right" vertical="center"/>
    </xf>
    <xf numFmtId="165" fontId="0" fillId="14" borderId="0" xfId="0" applyNumberFormat="1" applyFill="1"/>
    <xf numFmtId="3" fontId="0" fillId="14" borderId="0" xfId="0" applyNumberFormat="1" applyFill="1"/>
    <xf numFmtId="3" fontId="0" fillId="13" borderId="7" xfId="0" applyNumberFormat="1" applyFill="1" applyBorder="1" applyAlignment="1">
      <alignment horizontal="center"/>
    </xf>
    <xf numFmtId="0" fontId="35" fillId="0" borderId="0" xfId="0" applyFont="1"/>
    <xf numFmtId="3" fontId="35" fillId="0" borderId="0" xfId="0" applyNumberFormat="1" applyFont="1" applyAlignment="1">
      <alignment horizontal="left" indent="2"/>
    </xf>
    <xf numFmtId="3" fontId="35" fillId="0" borderId="0" xfId="0" applyNumberFormat="1" applyFont="1"/>
    <xf numFmtId="10" fontId="35" fillId="0" borderId="0" xfId="0" applyNumberFormat="1" applyFont="1"/>
    <xf numFmtId="0" fontId="0" fillId="15" borderId="0" xfId="0" applyFill="1"/>
    <xf numFmtId="0" fontId="59" fillId="0" borderId="0" xfId="0" applyFont="1" applyAlignment="1">
      <alignment vertical="center"/>
    </xf>
    <xf numFmtId="0" fontId="60" fillId="16" borderId="54" xfId="0" applyFont="1" applyFill="1" applyBorder="1" applyAlignment="1">
      <alignment horizontal="center" vertical="center"/>
    </xf>
    <xf numFmtId="0" fontId="61" fillId="15" borderId="0" xfId="0" applyFont="1" applyFill="1" applyAlignment="1">
      <alignment horizontal="center" vertical="center"/>
    </xf>
    <xf numFmtId="0" fontId="62" fillId="0" borderId="55" xfId="0" applyFont="1" applyBorder="1" applyAlignment="1">
      <alignment vertical="center"/>
    </xf>
    <xf numFmtId="0" fontId="62" fillId="0" borderId="56" xfId="0" applyFont="1" applyBorder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57" xfId="0" applyFont="1" applyBorder="1" applyAlignment="1">
      <alignment vertical="center"/>
    </xf>
    <xf numFmtId="0" fontId="63" fillId="0" borderId="0" xfId="0" applyFont="1" applyAlignment="1">
      <alignment horizontal="center"/>
    </xf>
    <xf numFmtId="0" fontId="64" fillId="15" borderId="54" xfId="0" applyFont="1" applyFill="1" applyBorder="1" applyAlignment="1">
      <alignment horizontal="right" vertical="center"/>
    </xf>
    <xf numFmtId="0" fontId="65" fillId="15" borderId="54" xfId="0" applyFont="1" applyFill="1" applyBorder="1" applyAlignment="1">
      <alignment horizontal="center" vertical="center"/>
    </xf>
    <xf numFmtId="166" fontId="66" fillId="0" borderId="0" xfId="0" applyNumberFormat="1" applyFont="1" applyAlignment="1">
      <alignment horizontal="center" vertical="center"/>
    </xf>
    <xf numFmtId="0" fontId="60" fillId="17" borderId="54" xfId="0" applyFont="1" applyFill="1" applyBorder="1" applyAlignment="1">
      <alignment horizontal="center" vertical="center" wrapText="1"/>
    </xf>
    <xf numFmtId="0" fontId="60" fillId="16" borderId="54" xfId="0" applyFont="1" applyFill="1" applyBorder="1" applyAlignment="1">
      <alignment horizontal="center"/>
    </xf>
    <xf numFmtId="0" fontId="67" fillId="0" borderId="56" xfId="0" applyFont="1" applyBorder="1" applyAlignment="1">
      <alignment vertical="center"/>
    </xf>
    <xf numFmtId="0" fontId="67" fillId="0" borderId="59" xfId="0" applyFont="1" applyBorder="1" applyAlignment="1">
      <alignment vertical="center" wrapText="1"/>
    </xf>
    <xf numFmtId="0" fontId="68" fillId="0" borderId="56" xfId="0" applyFont="1" applyBorder="1" applyAlignment="1">
      <alignment vertical="center"/>
    </xf>
    <xf numFmtId="0" fontId="67" fillId="0" borderId="56" xfId="0" applyFont="1" applyBorder="1" applyAlignment="1">
      <alignment vertical="center" wrapText="1"/>
    </xf>
    <xf numFmtId="0" fontId="68" fillId="0" borderId="59" xfId="0" applyFont="1" applyBorder="1" applyAlignment="1">
      <alignment vertical="center"/>
    </xf>
    <xf numFmtId="0" fontId="67" fillId="0" borderId="60" xfId="0" applyFont="1" applyBorder="1" applyAlignment="1">
      <alignment vertical="center" wrapText="1"/>
    </xf>
    <xf numFmtId="0" fontId="69" fillId="16" borderId="54" xfId="0" applyFont="1" applyFill="1" applyBorder="1" applyAlignment="1">
      <alignment horizontal="right" vertical="center"/>
    </xf>
    <xf numFmtId="0" fontId="70" fillId="0" borderId="0" xfId="0" applyFont="1"/>
    <xf numFmtId="0" fontId="60" fillId="16" borderId="61" xfId="0" applyFont="1" applyFill="1" applyBorder="1" applyAlignment="1">
      <alignment horizontal="center"/>
    </xf>
    <xf numFmtId="0" fontId="67" fillId="0" borderId="58" xfId="0" applyFont="1" applyBorder="1"/>
    <xf numFmtId="0" fontId="67" fillId="0" borderId="56" xfId="0" applyFont="1" applyBorder="1"/>
    <xf numFmtId="0" fontId="69" fillId="16" borderId="62" xfId="0" applyFont="1" applyFill="1" applyBorder="1" applyAlignment="1">
      <alignment horizontal="right" vertical="center"/>
    </xf>
    <xf numFmtId="0" fontId="62" fillId="0" borderId="0" xfId="0" applyFont="1"/>
    <xf numFmtId="0" fontId="58" fillId="0" borderId="0" xfId="0" applyFont="1"/>
    <xf numFmtId="0" fontId="60" fillId="16" borderId="61" xfId="0" applyFont="1" applyFill="1" applyBorder="1" applyAlignment="1">
      <alignment horizontal="center" vertical="center"/>
    </xf>
    <xf numFmtId="0" fontId="71" fillId="0" borderId="54" xfId="0" applyFont="1" applyBorder="1" applyAlignment="1">
      <alignment horizontal="center" vertical="center"/>
    </xf>
    <xf numFmtId="0" fontId="68" fillId="0" borderId="63" xfId="0" applyFont="1" applyBorder="1" applyAlignment="1">
      <alignment vertical="center"/>
    </xf>
    <xf numFmtId="0" fontId="68" fillId="0" borderId="60" xfId="0" applyFont="1" applyBorder="1" applyAlignment="1">
      <alignment vertical="center"/>
    </xf>
    <xf numFmtId="0" fontId="62" fillId="0" borderId="64" xfId="0" applyFont="1" applyBorder="1" applyAlignment="1">
      <alignment vertical="center"/>
    </xf>
    <xf numFmtId="0" fontId="73" fillId="0" borderId="54" xfId="14" applyFont="1" applyBorder="1" applyAlignment="1">
      <alignment horizontal="center" vertical="center"/>
    </xf>
    <xf numFmtId="0" fontId="74" fillId="0" borderId="54" xfId="14" applyFont="1" applyBorder="1" applyAlignment="1">
      <alignment vertical="center"/>
    </xf>
    <xf numFmtId="0" fontId="75" fillId="0" borderId="0" xfId="0" applyFont="1" applyAlignment="1">
      <alignment horizontal="center"/>
    </xf>
    <xf numFmtId="0" fontId="62" fillId="0" borderId="0" xfId="0" applyFont="1" applyAlignment="1">
      <alignment horizontal="center" vertical="center"/>
    </xf>
    <xf numFmtId="0" fontId="73" fillId="15" borderId="54" xfId="0" applyFont="1" applyFill="1" applyBorder="1" applyAlignment="1">
      <alignment horizontal="center" vertical="center"/>
    </xf>
    <xf numFmtId="0" fontId="64" fillId="15" borderId="65" xfId="0" applyFont="1" applyFill="1" applyBorder="1" applyAlignment="1">
      <alignment horizontal="right" vertical="center"/>
    </xf>
    <xf numFmtId="165" fontId="1" fillId="15" borderId="66" xfId="0" applyNumberFormat="1" applyFont="1" applyFill="1" applyBorder="1"/>
    <xf numFmtId="165" fontId="0" fillId="15" borderId="64" xfId="13" applyNumberFormat="1" applyFont="1" applyFill="1" applyBorder="1"/>
    <xf numFmtId="165" fontId="76" fillId="15" borderId="54" xfId="0" applyNumberFormat="1" applyFont="1" applyFill="1" applyBorder="1"/>
    <xf numFmtId="41" fontId="0" fillId="15" borderId="54" xfId="0" applyNumberFormat="1" applyFill="1" applyBorder="1"/>
    <xf numFmtId="165" fontId="46" fillId="15" borderId="54" xfId="0" applyNumberFormat="1" applyFont="1" applyFill="1" applyBorder="1"/>
    <xf numFmtId="165" fontId="0" fillId="15" borderId="54" xfId="13" applyNumberFormat="1" applyFont="1" applyFill="1" applyBorder="1"/>
    <xf numFmtId="165" fontId="1" fillId="15" borderId="54" xfId="0" applyNumberFormat="1" applyFont="1" applyFill="1" applyBorder="1"/>
    <xf numFmtId="165" fontId="0" fillId="15" borderId="61" xfId="13" applyNumberFormat="1" applyFont="1" applyFill="1" applyBorder="1"/>
    <xf numFmtId="0" fontId="67" fillId="0" borderId="55" xfId="0" applyFont="1" applyBorder="1" applyAlignment="1">
      <alignment vertical="center"/>
    </xf>
    <xf numFmtId="0" fontId="67" fillId="0" borderId="54" xfId="0" applyFont="1" applyBorder="1" applyAlignment="1">
      <alignment vertical="center"/>
    </xf>
    <xf numFmtId="165" fontId="0" fillId="15" borderId="64" xfId="0" applyNumberFormat="1" applyFill="1" applyBorder="1"/>
    <xf numFmtId="165" fontId="0" fillId="15" borderId="67" xfId="0" applyNumberFormat="1" applyFill="1" applyBorder="1"/>
    <xf numFmtId="0" fontId="71" fillId="0" borderId="67" xfId="0" applyFont="1" applyBorder="1" applyAlignment="1">
      <alignment horizontal="center" vertical="center"/>
    </xf>
    <xf numFmtId="0" fontId="65" fillId="0" borderId="54" xfId="0" applyFont="1" applyBorder="1" applyAlignment="1">
      <alignment horizontal="center" vertical="center"/>
    </xf>
    <xf numFmtId="165" fontId="0" fillId="15" borderId="54" xfId="0" applyNumberFormat="1" applyFill="1" applyBorder="1"/>
    <xf numFmtId="165" fontId="0" fillId="15" borderId="61" xfId="0" applyNumberFormat="1" applyFill="1" applyBorder="1"/>
    <xf numFmtId="0" fontId="0" fillId="15" borderId="54" xfId="0" applyFill="1" applyBorder="1"/>
    <xf numFmtId="165" fontId="0" fillId="15" borderId="68" xfId="0" applyNumberFormat="1" applyFill="1" applyBorder="1"/>
    <xf numFmtId="165" fontId="1" fillId="15" borderId="0" xfId="0" applyNumberFormat="1" applyFont="1" applyFill="1"/>
    <xf numFmtId="171" fontId="0" fillId="0" borderId="0" xfId="1" applyNumberFormat="1" applyFont="1"/>
    <xf numFmtId="3" fontId="0" fillId="5" borderId="0" xfId="0" applyNumberFormat="1" applyFill="1" applyAlignment="1">
      <alignment horizontal="left" indent="1"/>
    </xf>
    <xf numFmtId="3" fontId="0" fillId="5" borderId="0" xfId="0" applyNumberFormat="1" applyFill="1"/>
    <xf numFmtId="165" fontId="0" fillId="0" borderId="0" xfId="0" applyNumberFormat="1" applyFill="1"/>
    <xf numFmtId="41" fontId="0" fillId="0" borderId="0" xfId="13" applyFont="1"/>
    <xf numFmtId="41" fontId="1" fillId="0" borderId="0" xfId="0" applyNumberFormat="1" applyFont="1"/>
    <xf numFmtId="0" fontId="0" fillId="0" borderId="0" xfId="0" applyFont="1"/>
    <xf numFmtId="10" fontId="1" fillId="0" borderId="0" xfId="1" applyNumberFormat="1" applyFont="1"/>
    <xf numFmtId="41" fontId="1" fillId="0" borderId="0" xfId="13" applyFont="1"/>
    <xf numFmtId="0" fontId="0" fillId="0" borderId="0" xfId="0" applyFill="1" applyAlignment="1">
      <alignment horizontal="left"/>
    </xf>
    <xf numFmtId="0" fontId="0" fillId="0" borderId="12" xfId="0" applyFill="1" applyBorder="1" applyAlignment="1">
      <alignment horizontal="left" indent="2"/>
    </xf>
    <xf numFmtId="165" fontId="0" fillId="0" borderId="14" xfId="0" applyNumberFormat="1" applyFill="1" applyBorder="1"/>
    <xf numFmtId="165" fontId="0" fillId="0" borderId="15" xfId="0" applyNumberFormat="1" applyFill="1" applyBorder="1"/>
    <xf numFmtId="165" fontId="0" fillId="0" borderId="16" xfId="0" applyNumberFormat="1" applyFill="1" applyBorder="1"/>
    <xf numFmtId="0" fontId="0" fillId="0" borderId="0" xfId="0" applyFill="1"/>
    <xf numFmtId="165" fontId="0" fillId="0" borderId="28" xfId="0" applyNumberFormat="1" applyFill="1" applyBorder="1"/>
    <xf numFmtId="165" fontId="0" fillId="0" borderId="18" xfId="0" applyNumberFormat="1" applyFill="1" applyBorder="1"/>
    <xf numFmtId="165" fontId="0" fillId="0" borderId="19" xfId="0" applyNumberFormat="1" applyFill="1" applyBorder="1"/>
    <xf numFmtId="10" fontId="0" fillId="0" borderId="0" xfId="0" applyNumberFormat="1" applyFill="1" applyAlignment="1">
      <alignment horizontal="left"/>
    </xf>
    <xf numFmtId="10" fontId="0" fillId="0" borderId="13" xfId="0" applyNumberFormat="1" applyFill="1" applyBorder="1" applyAlignment="1">
      <alignment horizontal="left" indent="1"/>
    </xf>
    <xf numFmtId="10" fontId="0" fillId="0" borderId="13" xfId="0" quotePrefix="1" applyNumberFormat="1" applyFill="1" applyBorder="1" applyAlignment="1">
      <alignment horizontal="left" indent="1"/>
    </xf>
    <xf numFmtId="10" fontId="0" fillId="0" borderId="17" xfId="0" applyNumberFormat="1" applyFill="1" applyBorder="1"/>
    <xf numFmtId="10" fontId="0" fillId="0" borderId="18" xfId="0" applyNumberFormat="1" applyFill="1" applyBorder="1"/>
    <xf numFmtId="10" fontId="0" fillId="0" borderId="19" xfId="0" applyNumberFormat="1" applyFill="1" applyBorder="1"/>
    <xf numFmtId="10" fontId="0" fillId="0" borderId="0" xfId="0" applyNumberFormat="1" applyFill="1"/>
    <xf numFmtId="10" fontId="0" fillId="0" borderId="28" xfId="0" applyNumberFormat="1" applyFill="1" applyBorder="1"/>
    <xf numFmtId="10" fontId="0" fillId="0" borderId="43" xfId="0" applyNumberFormat="1" applyFill="1" applyBorder="1"/>
    <xf numFmtId="0" fontId="0" fillId="0" borderId="13" xfId="0" applyFill="1" applyBorder="1" applyAlignment="1">
      <alignment horizontal="left" indent="2"/>
    </xf>
    <xf numFmtId="165" fontId="0" fillId="0" borderId="17" xfId="0" applyNumberFormat="1" applyFill="1" applyBorder="1"/>
    <xf numFmtId="0" fontId="1" fillId="0" borderId="0" xfId="0" applyFont="1" applyFill="1"/>
    <xf numFmtId="0" fontId="1" fillId="0" borderId="23" xfId="0" applyFont="1" applyFill="1" applyBorder="1" applyAlignment="1">
      <alignment horizontal="left" indent="1"/>
    </xf>
    <xf numFmtId="0" fontId="1" fillId="0" borderId="23" xfId="0" applyFont="1" applyFill="1" applyBorder="1" applyAlignment="1">
      <alignment horizontal="left" indent="2"/>
    </xf>
    <xf numFmtId="165" fontId="1" fillId="0" borderId="27" xfId="0" applyNumberFormat="1" applyFont="1" applyFill="1" applyBorder="1"/>
    <xf numFmtId="165" fontId="1" fillId="0" borderId="25" xfId="0" applyNumberFormat="1" applyFont="1" applyFill="1" applyBorder="1"/>
    <xf numFmtId="165" fontId="1" fillId="0" borderId="26" xfId="0" applyNumberFormat="1" applyFont="1" applyFill="1" applyBorder="1"/>
    <xf numFmtId="10" fontId="0" fillId="0" borderId="0" xfId="0" applyNumberFormat="1" applyFill="1" applyAlignment="1">
      <alignment horizontal="left" indent="1"/>
    </xf>
    <xf numFmtId="10" fontId="4" fillId="0" borderId="0" xfId="0" applyNumberFormat="1" applyFont="1" applyFill="1"/>
    <xf numFmtId="0" fontId="1" fillId="0" borderId="0" xfId="0" applyFont="1" applyFill="1" applyAlignment="1">
      <alignment horizontal="left" indent="1"/>
    </xf>
    <xf numFmtId="0" fontId="0" fillId="0" borderId="0" xfId="0" applyFill="1" applyAlignment="1">
      <alignment horizontal="left" indent="1"/>
    </xf>
    <xf numFmtId="10" fontId="0" fillId="0" borderId="0" xfId="1" applyNumberFormat="1" applyFont="1" applyFill="1"/>
    <xf numFmtId="10" fontId="35" fillId="0" borderId="0" xfId="0" applyNumberFormat="1" applyFont="1" applyFill="1"/>
    <xf numFmtId="165" fontId="0" fillId="0" borderId="0" xfId="0" applyNumberFormat="1" applyBorder="1"/>
    <xf numFmtId="165" fontId="36" fillId="0" borderId="25" xfId="0" applyNumberFormat="1" applyFont="1" applyBorder="1"/>
    <xf numFmtId="9" fontId="0" fillId="0" borderId="0" xfId="1" applyNumberFormat="1" applyFont="1"/>
    <xf numFmtId="165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1" fontId="1" fillId="0" borderId="0" xfId="0" applyNumberFormat="1" applyFont="1" applyAlignment="1">
      <alignment horizontal="left" vertical="center"/>
    </xf>
    <xf numFmtId="0" fontId="0" fillId="0" borderId="7" xfId="0" applyBorder="1" applyAlignment="1">
      <alignment horizontal="left" vertical="center" wrapText="1"/>
    </xf>
    <xf numFmtId="0" fontId="0" fillId="9" borderId="7" xfId="0" applyFill="1" applyBorder="1" applyAlignment="1">
      <alignment horizontal="left" vertical="center" wrapText="1"/>
    </xf>
    <xf numFmtId="0" fontId="0" fillId="9" borderId="7" xfId="0" quotePrefix="1" applyFill="1" applyBorder="1" applyAlignment="1">
      <alignment horizontal="left" vertical="center" wrapText="1"/>
    </xf>
    <xf numFmtId="0" fontId="0" fillId="0" borderId="7" xfId="0" quotePrefix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left" wrapText="1"/>
    </xf>
    <xf numFmtId="0" fontId="1" fillId="18" borderId="0" xfId="0" applyFont="1" applyFill="1" applyAlignment="1">
      <alignment horizontal="center"/>
    </xf>
    <xf numFmtId="0" fontId="54" fillId="0" borderId="52" xfId="0" applyFont="1" applyBorder="1" applyAlignment="1">
      <alignment horizontal="center"/>
    </xf>
    <xf numFmtId="0" fontId="1" fillId="15" borderId="0" xfId="0" applyFont="1" applyFill="1" applyAlignment="1">
      <alignment horizontal="center"/>
    </xf>
  </cellXfs>
  <cellStyles count="15">
    <cellStyle name="Hipervínculo 2" xfId="9" xr:uid="{00000000-0005-0000-0000-000000000000}"/>
    <cellStyle name="Millares [0]" xfId="13" builtinId="6"/>
    <cellStyle name="Millares [0] 2" xfId="12" xr:uid="{00000000-0005-0000-0000-000001000000}"/>
    <cellStyle name="Millares 2" xfId="2" xr:uid="{00000000-0005-0000-0000-000002000000}"/>
    <cellStyle name="Normal" xfId="0" builtinId="0"/>
    <cellStyle name="Normal 2" xfId="3" xr:uid="{00000000-0005-0000-0000-000004000000}"/>
    <cellStyle name="Normal 2 2" xfId="4" xr:uid="{00000000-0005-0000-0000-000005000000}"/>
    <cellStyle name="Normal 2 4" xfId="14" xr:uid="{364FD8FC-1081-486C-BCC6-AAB6755FE09B}"/>
    <cellStyle name="Normal 3" xfId="5" xr:uid="{00000000-0005-0000-0000-000006000000}"/>
    <cellStyle name="Normal 3 2" xfId="7" xr:uid="{00000000-0005-0000-0000-000007000000}"/>
    <cellStyle name="Normal 3 2 2" xfId="8" xr:uid="{00000000-0005-0000-0000-000008000000}"/>
    <cellStyle name="Normal 4" xfId="10" xr:uid="{00000000-0005-0000-0000-000009000000}"/>
    <cellStyle name="Normal_Hoja1" xfId="11" xr:uid="{00000000-0005-0000-0000-00000A000000}"/>
    <cellStyle name="Porcentaje" xfId="1" builtinId="5"/>
    <cellStyle name="Porcentaje 3" xfId="6" xr:uid="{00000000-0005-0000-0000-00000C000000}"/>
  </cellStyles>
  <dxfs count="26">
    <dxf>
      <font>
        <color rgb="FF0070C0"/>
      </font>
      <fill>
        <patternFill>
          <bgColor theme="0"/>
        </patternFill>
      </fill>
    </dxf>
    <dxf>
      <font>
        <color rgb="FF00B050"/>
      </font>
      <fill>
        <patternFill>
          <bgColor theme="0"/>
        </patternFill>
      </fill>
    </dxf>
    <dxf>
      <font>
        <color rgb="FF0070C0"/>
      </font>
      <fill>
        <patternFill>
          <bgColor theme="0"/>
        </patternFill>
      </fill>
    </dxf>
    <dxf>
      <font>
        <color rgb="FF00B050"/>
      </font>
      <fill>
        <patternFill>
          <bgColor theme="0"/>
        </patternFill>
      </fill>
    </dxf>
    <dxf>
      <font>
        <color rgb="FF0070C0"/>
      </font>
      <fill>
        <patternFill>
          <bgColor theme="0"/>
        </patternFill>
      </fill>
    </dxf>
    <dxf>
      <font>
        <color rgb="FF00B050"/>
      </font>
      <fill>
        <patternFill>
          <bgColor theme="0"/>
        </patternFill>
      </fill>
    </dxf>
    <dxf>
      <font>
        <color rgb="FF0070C0"/>
      </font>
      <fill>
        <patternFill>
          <bgColor theme="0"/>
        </patternFill>
      </fill>
    </dxf>
    <dxf>
      <font>
        <color rgb="FF00B050"/>
      </font>
      <fill>
        <patternFill>
          <bgColor theme="0"/>
        </patternFill>
      </fill>
    </dxf>
    <dxf>
      <font>
        <color rgb="FF0070C0"/>
      </font>
      <fill>
        <patternFill>
          <bgColor theme="0"/>
        </patternFill>
      </fill>
    </dxf>
    <dxf>
      <font>
        <color rgb="FF00B050"/>
      </font>
      <fill>
        <patternFill>
          <bgColor theme="0"/>
        </patternFill>
      </fill>
    </dxf>
    <dxf>
      <font>
        <color rgb="FF0070C0"/>
      </font>
      <fill>
        <patternFill>
          <bgColor theme="0"/>
        </patternFill>
      </fill>
    </dxf>
    <dxf>
      <font>
        <color rgb="FF00B050"/>
      </font>
      <fill>
        <patternFill>
          <bgColor theme="0"/>
        </patternFill>
      </fill>
    </dxf>
    <dxf>
      <font>
        <color rgb="FF0070C0"/>
      </font>
      <fill>
        <patternFill>
          <bgColor theme="0"/>
        </patternFill>
      </fill>
    </dxf>
    <dxf>
      <font>
        <color rgb="FF00B050"/>
      </font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rgb="FF00B05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2D62"/>
      <color rgb="FFFDB91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ESCALONES</a:t>
            </a:r>
            <a:r>
              <a:rPr lang="es-ES" baseline="0"/>
              <a:t> DE VALOR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PRY!$B$766</c:f>
              <c:strCache>
                <c:ptCount val="1"/>
                <c:pt idx="0">
                  <c:v>BASE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PRY!$C$766:$K$766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PRY!$C$765:$K$765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74E-401B-8A2B-588863D8BEA0}"/>
            </c:ext>
          </c:extLst>
        </c:ser>
        <c:ser>
          <c:idx val="1"/>
          <c:order val="1"/>
          <c:tx>
            <c:strRef>
              <c:f>PRY!$B$767</c:f>
              <c:strCache>
                <c:ptCount val="1"/>
                <c:pt idx="0">
                  <c:v>EXPLICITO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PRY!$C$767:$K$767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PRY!$C$765:$K$765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B74E-401B-8A2B-588863D8BEA0}"/>
            </c:ext>
          </c:extLst>
        </c:ser>
        <c:ser>
          <c:idx val="2"/>
          <c:order val="2"/>
          <c:tx>
            <c:strRef>
              <c:f>PRY!$B$768</c:f>
              <c:strCache>
                <c:ptCount val="1"/>
                <c:pt idx="0">
                  <c:v>PERPETUO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PRY!$C$768:$K$768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PRY!$C$765:$K$765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B74E-401B-8A2B-588863D8BEA0}"/>
            </c:ext>
          </c:extLst>
        </c:ser>
        <c:ser>
          <c:idx val="3"/>
          <c:order val="3"/>
          <c:tx>
            <c:strRef>
              <c:f>PRY!$B$769</c:f>
              <c:strCache>
                <c:ptCount val="1"/>
                <c:pt idx="0">
                  <c:v>VALOR SIN CONT.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PRY!$C$769:$K$769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PRY!$C$765:$K$765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B74E-401B-8A2B-588863D8BEA0}"/>
            </c:ext>
          </c:extLst>
        </c:ser>
        <c:ser>
          <c:idx val="4"/>
          <c:order val="4"/>
          <c:tx>
            <c:strRef>
              <c:f>PRY!$B$770</c:f>
              <c:strCache>
                <c:ptCount val="1"/>
                <c:pt idx="0">
                  <c:v>CONTINGENCIAS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PRY!$C$770:$K$770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PRY!$C$765:$K$765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B74E-401B-8A2B-588863D8BEA0}"/>
            </c:ext>
          </c:extLst>
        </c:ser>
        <c:ser>
          <c:idx val="5"/>
          <c:order val="5"/>
          <c:tx>
            <c:strRef>
              <c:f>PRY!$B$771</c:f>
              <c:strCache>
                <c:ptCount val="1"/>
                <c:pt idx="0">
                  <c:v>VALOR (1)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PRY!$C$771:$K$771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PRY!$C$765:$K$765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B74E-401B-8A2B-588863D8BEA0}"/>
            </c:ext>
          </c:extLst>
        </c:ser>
        <c:ser>
          <c:idx val="6"/>
          <c:order val="6"/>
          <c:tx>
            <c:strRef>
              <c:f>PRY!$B$772</c:f>
              <c:strCache>
                <c:ptCount val="1"/>
                <c:pt idx="0">
                  <c:v>ACREENCIAS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PRY!$C$772:$K$772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PRY!$C$765:$K$765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B74E-401B-8A2B-588863D8BEA0}"/>
            </c:ext>
          </c:extLst>
        </c:ser>
        <c:ser>
          <c:idx val="7"/>
          <c:order val="7"/>
          <c:tx>
            <c:strRef>
              <c:f>PRY!$B$773</c:f>
              <c:strCache>
                <c:ptCount val="1"/>
                <c:pt idx="0">
                  <c:v>VALOR (2)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PRY!$C$773:$K$773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PRY!$C$765:$K$765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B74E-401B-8A2B-588863D8BEA0}"/>
            </c:ext>
          </c:extLst>
        </c:ser>
        <c:ser>
          <c:idx val="8"/>
          <c:order val="8"/>
          <c:tx>
            <c:strRef>
              <c:f>PRY!$B$774</c:f>
              <c:strCache>
                <c:ptCount val="1"/>
                <c:pt idx="0">
                  <c:v>EFECTIVO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PRY!$C$774:$K$774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PRY!$C$765:$K$765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B74E-401B-8A2B-588863D8BEA0}"/>
            </c:ext>
          </c:extLst>
        </c:ser>
        <c:ser>
          <c:idx val="9"/>
          <c:order val="9"/>
          <c:tx>
            <c:strRef>
              <c:f>PRY!$B$775</c:f>
              <c:strCache>
                <c:ptCount val="1"/>
                <c:pt idx="0">
                  <c:v>VALOR (3)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PRY!$C$775:$K$775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PRY!$C$765:$K$765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D-B74E-401B-8A2B-588863D8B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1877526576"/>
        <c:axId val="1699198352"/>
      </c:barChart>
      <c:catAx>
        <c:axId val="187752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99198352"/>
        <c:crosses val="autoZero"/>
        <c:auto val="1"/>
        <c:lblAlgn val="ctr"/>
        <c:lblOffset val="100"/>
        <c:noMultiLvlLbl val="0"/>
      </c:catAx>
      <c:valAx>
        <c:axId val="169919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COP</a:t>
                </a:r>
                <a:r>
                  <a:rPr lang="es-ES" baseline="0"/>
                  <a:t> MILLONES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77526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Razón corriente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PRY!$B$572</c:f>
              <c:strCache>
                <c:ptCount val="1"/>
                <c:pt idx="0">
                  <c:v>Razón corriente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PRY!$D$572:$Q$572</c:f>
              <c:numCache>
                <c:formatCode>#,##0.00</c:formatCode>
                <c:ptCount val="14"/>
                <c:pt idx="0">
                  <c:v>0.36800224858284997</c:v>
                </c:pt>
                <c:pt idx="1">
                  <c:v>0.33865962969097163</c:v>
                </c:pt>
                <c:pt idx="2">
                  <c:v>0.27331878553319477</c:v>
                </c:pt>
                <c:pt idx="3">
                  <c:v>0.29180992414060014</c:v>
                </c:pt>
                <c:pt idx="4">
                  <c:v>0.4362120697239994</c:v>
                </c:pt>
                <c:pt idx="5">
                  <c:v>0.45685266242183287</c:v>
                </c:pt>
                <c:pt idx="6">
                  <c:v>0.48391745348801168</c:v>
                </c:pt>
                <c:pt idx="7">
                  <c:v>0.51845991304343009</c:v>
                </c:pt>
                <c:pt idx="8">
                  <c:v>0.65330119561525291</c:v>
                </c:pt>
                <c:pt idx="9">
                  <c:v>0.72736771626153651</c:v>
                </c:pt>
                <c:pt idx="10">
                  <c:v>0.80005924833725239</c:v>
                </c:pt>
                <c:pt idx="11">
                  <c:v>0.87582087644328588</c:v>
                </c:pt>
                <c:pt idx="12">
                  <c:v>0.94975608309460946</c:v>
                </c:pt>
                <c:pt idx="13">
                  <c:v>1.0178847407170721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D-46A2-9EF2-B2790893F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2422608"/>
        <c:axId val="2032418800"/>
      </c:barChart>
      <c:lineChart>
        <c:grouping val="standard"/>
        <c:varyColors val="0"/>
        <c:ser>
          <c:idx val="1"/>
          <c:order val="1"/>
          <c:tx>
            <c:strRef>
              <c:f>PRY!$B$573</c:f>
              <c:strCache>
                <c:ptCount val="1"/>
                <c:pt idx="0">
                  <c:v>Objetivo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PRY!$D$573:$Q$573</c:f>
              <c:numCache>
                <c:formatCode>#,##0.00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D-46A2-9EF2-B2790893F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422608"/>
        <c:axId val="2032418800"/>
      </c:lineChart>
      <c:catAx>
        <c:axId val="203242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418800"/>
        <c:crosses val="autoZero"/>
        <c:auto val="1"/>
        <c:lblAlgn val="ctr"/>
        <c:lblOffset val="100"/>
        <c:noMultiLvlLbl val="0"/>
      </c:catAx>
      <c:valAx>
        <c:axId val="203241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42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Liquidez cuentas salud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PRY!$B$577</c:f>
              <c:strCache>
                <c:ptCount val="1"/>
                <c:pt idx="0">
                  <c:v>Liquidez salud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PRY!$D$577:$Q$577</c:f>
              <c:numCache>
                <c:formatCode>#,##0.00</c:formatCode>
                <c:ptCount val="14"/>
                <c:pt idx="0">
                  <c:v>0.34758785898503547</c:v>
                </c:pt>
                <c:pt idx="1">
                  <c:v>0.30611050124539624</c:v>
                </c:pt>
                <c:pt idx="2">
                  <c:v>0.23538748645576335</c:v>
                </c:pt>
                <c:pt idx="3">
                  <c:v>0.23649133243948892</c:v>
                </c:pt>
                <c:pt idx="4">
                  <c:v>0.24287599513941563</c:v>
                </c:pt>
                <c:pt idx="5">
                  <c:v>0.232660543490219</c:v>
                </c:pt>
                <c:pt idx="6">
                  <c:v>0.20104163374211462</c:v>
                </c:pt>
                <c:pt idx="7">
                  <c:v>0.18552219332628925</c:v>
                </c:pt>
                <c:pt idx="8">
                  <c:v>0.16908394798016532</c:v>
                </c:pt>
                <c:pt idx="9">
                  <c:v>0.17647959264229965</c:v>
                </c:pt>
                <c:pt idx="10">
                  <c:v>0.17863232178884786</c:v>
                </c:pt>
                <c:pt idx="11">
                  <c:v>0.17969241451597975</c:v>
                </c:pt>
                <c:pt idx="12">
                  <c:v>0.1804223557234769</c:v>
                </c:pt>
                <c:pt idx="13">
                  <c:v>0.18052273333918711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6-4C91-A255-0DDDAD51A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2421520"/>
        <c:axId val="2032417712"/>
      </c:barChart>
      <c:catAx>
        <c:axId val="203242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417712"/>
        <c:crosses val="autoZero"/>
        <c:auto val="1"/>
        <c:lblAlgn val="ctr"/>
        <c:lblOffset val="100"/>
        <c:noMultiLvlLbl val="0"/>
      </c:catAx>
      <c:valAx>
        <c:axId val="203241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421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Margen Neto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PRY!$B$582</c:f>
              <c:strCache>
                <c:ptCount val="1"/>
                <c:pt idx="0">
                  <c:v>Margen neto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PRY!$D$582:$Q$582</c:f>
              <c:numCache>
                <c:formatCode>0%</c:formatCode>
                <c:ptCount val="14"/>
                <c:pt idx="0">
                  <c:v>-9.1841267310630789E-2</c:v>
                </c:pt>
                <c:pt idx="1">
                  <c:v>-8.8427296541287198E-2</c:v>
                </c:pt>
                <c:pt idx="2">
                  <c:v>-0.27346708709570744</c:v>
                </c:pt>
                <c:pt idx="3">
                  <c:v>-2.4100653817307735E-2</c:v>
                </c:pt>
                <c:pt idx="4">
                  <c:v>7.1916874574091752E-2</c:v>
                </c:pt>
                <c:pt idx="5">
                  <c:v>1.2923893405084095E-2</c:v>
                </c:pt>
                <c:pt idx="6">
                  <c:v>-3.7487009871960079E-3</c:v>
                </c:pt>
                <c:pt idx="7">
                  <c:v>7.1647878374359146E-3</c:v>
                </c:pt>
                <c:pt idx="8">
                  <c:v>1.9400709235788471E-2</c:v>
                </c:pt>
                <c:pt idx="9">
                  <c:v>2.8482089844015311E-2</c:v>
                </c:pt>
                <c:pt idx="10">
                  <c:v>3.6655589501623974E-2</c:v>
                </c:pt>
                <c:pt idx="11">
                  <c:v>3.8390609451658807E-2</c:v>
                </c:pt>
                <c:pt idx="12">
                  <c:v>3.8342619481941793E-2</c:v>
                </c:pt>
                <c:pt idx="13">
                  <c:v>3.6653595292530726E-2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7-4C4D-A492-BC94B188A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2412272"/>
        <c:axId val="2032424240"/>
      </c:barChart>
      <c:catAx>
        <c:axId val="203241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424240"/>
        <c:crosses val="autoZero"/>
        <c:auto val="1"/>
        <c:lblAlgn val="ctr"/>
        <c:lblOffset val="100"/>
        <c:noMultiLvlLbl val="0"/>
      </c:catAx>
      <c:valAx>
        <c:axId val="203242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41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Rotación del Activo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PRY!$B$587</c:f>
              <c:strCache>
                <c:ptCount val="1"/>
                <c:pt idx="0">
                  <c:v>Rotación del activo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PRY!$D$587:$Q$587</c:f>
              <c:numCache>
                <c:formatCode>#,##0.00</c:formatCode>
                <c:ptCount val="14"/>
                <c:pt idx="0">
                  <c:v>6.2638220896633285</c:v>
                </c:pt>
                <c:pt idx="1">
                  <c:v>5.7858948244932344</c:v>
                </c:pt>
                <c:pt idx="2">
                  <c:v>4.6344309188771531</c:v>
                </c:pt>
                <c:pt idx="3">
                  <c:v>4.470767979459394</c:v>
                </c:pt>
                <c:pt idx="4">
                  <c:v>3.2109558197113359</c:v>
                </c:pt>
                <c:pt idx="5">
                  <c:v>3.2885633800236702</c:v>
                </c:pt>
                <c:pt idx="6">
                  <c:v>3.0393045326339059</c:v>
                </c:pt>
                <c:pt idx="7">
                  <c:v>2.9648795568324915</c:v>
                </c:pt>
                <c:pt idx="8">
                  <c:v>2.4892188907673032</c:v>
                </c:pt>
                <c:pt idx="9">
                  <c:v>2.3426733039711647</c:v>
                </c:pt>
                <c:pt idx="10">
                  <c:v>2.1667628616105192</c:v>
                </c:pt>
                <c:pt idx="11">
                  <c:v>2.0005131774827705</c:v>
                </c:pt>
                <c:pt idx="12">
                  <c:v>1.8595300587795698</c:v>
                </c:pt>
                <c:pt idx="13">
                  <c:v>1.7409018993619498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5-4DAE-A230-81299D9E0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2413904"/>
        <c:axId val="2032423152"/>
      </c:barChart>
      <c:catAx>
        <c:axId val="203241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423152"/>
        <c:crosses val="autoZero"/>
        <c:auto val="1"/>
        <c:lblAlgn val="ctr"/>
        <c:lblOffset val="100"/>
        <c:noMultiLvlLbl val="0"/>
      </c:catAx>
      <c:valAx>
        <c:axId val="203242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413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Rentabilidad del Activo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PRY!$B$592</c:f>
              <c:strCache>
                <c:ptCount val="1"/>
                <c:pt idx="0">
                  <c:v>Rentabilidad del activo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PRY!$D$592:$Q$592</c:f>
              <c:numCache>
                <c:formatCode>0.00%</c:formatCode>
                <c:ptCount val="14"/>
                <c:pt idx="0">
                  <c:v>-0.57527735892300369</c:v>
                </c:pt>
                <c:pt idx="1">
                  <c:v>-0.51163103740216209</c:v>
                </c:pt>
                <c:pt idx="2">
                  <c:v>-1.2673643237316179</c:v>
                </c:pt>
                <c:pt idx="3">
                  <c:v>-0.10774843137045524</c:v>
                </c:pt>
                <c:pt idx="4">
                  <c:v>0.23092190694913012</c:v>
                </c:pt>
                <c:pt idx="5">
                  <c:v>4.2501042579288974E-2</c:v>
                </c:pt>
                <c:pt idx="6">
                  <c:v>-1.1393443901874025E-2</c:v>
                </c:pt>
                <c:pt idx="7">
                  <c:v>2.1242732988255821E-2</c:v>
                </c:pt>
                <c:pt idx="8">
                  <c:v>4.8292611924008348E-2</c:v>
                </c:pt>
                <c:pt idx="9">
                  <c:v>6.6724231518882904E-2</c:v>
                </c:pt>
                <c:pt idx="10">
                  <c:v>7.9423970002559269E-2</c:v>
                </c:pt>
                <c:pt idx="11">
                  <c:v>7.6800920099638029E-2</c:v>
                </c:pt>
                <c:pt idx="12">
                  <c:v>7.12992534590179E-2</c:v>
                </c:pt>
                <c:pt idx="13">
                  <c:v>6.3810313663210966E-2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1-42D7-AAB7-9A6284DF7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2415536"/>
        <c:axId val="2032414448"/>
      </c:barChart>
      <c:catAx>
        <c:axId val="203241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414448"/>
        <c:crosses val="autoZero"/>
        <c:auto val="1"/>
        <c:lblAlgn val="ctr"/>
        <c:lblOffset val="100"/>
        <c:noMultiLvlLbl val="0"/>
      </c:catAx>
      <c:valAx>
        <c:axId val="203241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41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Costo médico</a:t>
            </a:r>
            <a:r>
              <a:rPr lang="es-CO" baseline="0"/>
              <a:t> / Ingresos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PRY!$B$597</c:f>
              <c:strCache>
                <c:ptCount val="1"/>
                <c:pt idx="0">
                  <c:v>Costo médico / Ingresos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PRY!$D$597:$Q$597</c:f>
              <c:numCache>
                <c:formatCode>0.00%</c:formatCode>
                <c:ptCount val="14"/>
                <c:pt idx="0">
                  <c:v>1.0573197429737109</c:v>
                </c:pt>
                <c:pt idx="1">
                  <c:v>1.0483184022343222</c:v>
                </c:pt>
                <c:pt idx="2">
                  <c:v>1.2458603063660443</c:v>
                </c:pt>
                <c:pt idx="3">
                  <c:v>1.0047402876446143</c:v>
                </c:pt>
                <c:pt idx="4">
                  <c:v>0.99109487708809907</c:v>
                </c:pt>
                <c:pt idx="5">
                  <c:v>0.9250041880831632</c:v>
                </c:pt>
                <c:pt idx="6">
                  <c:v>0.96815009866866231</c:v>
                </c:pt>
                <c:pt idx="7">
                  <c:v>0.95758147992967968</c:v>
                </c:pt>
                <c:pt idx="8">
                  <c:v>0.94543522518509626</c:v>
                </c:pt>
                <c:pt idx="9">
                  <c:v>0.93251158277929125</c:v>
                </c:pt>
                <c:pt idx="10">
                  <c:v>0.92426883440231189</c:v>
                </c:pt>
                <c:pt idx="11">
                  <c:v>0.92234913388164819</c:v>
                </c:pt>
                <c:pt idx="12">
                  <c:v>0.92221547946433435</c:v>
                </c:pt>
                <c:pt idx="13">
                  <c:v>0.92221547946433435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1-42D7-AAB7-9A6284DF7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2424784"/>
        <c:axId val="2032416624"/>
      </c:areaChart>
      <c:catAx>
        <c:axId val="20324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416624"/>
        <c:crosses val="autoZero"/>
        <c:auto val="1"/>
        <c:lblAlgn val="ctr"/>
        <c:lblOffset val="100"/>
        <c:noMultiLvlLbl val="0"/>
      </c:catAx>
      <c:valAx>
        <c:axId val="203241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424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Patrimonio. COP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PRY!$B$602</c:f>
              <c:strCache>
                <c:ptCount val="1"/>
                <c:pt idx="0">
                  <c:v>Patrimonio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PRY!$D$602:$Q$602</c:f>
              <c:numCache>
                <c:formatCode>#,##0,,</c:formatCode>
                <c:ptCount val="14"/>
                <c:pt idx="0">
                  <c:v>-169498417215</c:v>
                </c:pt>
                <c:pt idx="1">
                  <c:v>-288871152544</c:v>
                </c:pt>
                <c:pt idx="2">
                  <c:v>-672239351599</c:v>
                </c:pt>
                <c:pt idx="3">
                  <c:v>-710762259812.94641</c:v>
                </c:pt>
                <c:pt idx="4">
                  <c:v>-586864322124.01331</c:v>
                </c:pt>
                <c:pt idx="5">
                  <c:v>-562942692185.06616</c:v>
                </c:pt>
                <c:pt idx="6">
                  <c:v>-570122414746.11304</c:v>
                </c:pt>
                <c:pt idx="7">
                  <c:v>-525887839469.08435</c:v>
                </c:pt>
                <c:pt idx="8">
                  <c:v>-362028647862.74786</c:v>
                </c:pt>
                <c:pt idx="9">
                  <c:v>-271454680653.82935</c:v>
                </c:pt>
                <c:pt idx="10">
                  <c:v>-190757630264.22479</c:v>
                </c:pt>
                <c:pt idx="11">
                  <c:v>-103270182826.03372</c:v>
                </c:pt>
                <c:pt idx="12">
                  <c:v>-12820758928.315292</c:v>
                </c:pt>
                <c:pt idx="13">
                  <c:v>74076618087.062729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1-42D7-AAB7-9A6284DF7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2420976"/>
        <c:axId val="2032422064"/>
      </c:areaChart>
      <c:catAx>
        <c:axId val="203242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422064"/>
        <c:crosses val="autoZero"/>
        <c:auto val="1"/>
        <c:lblAlgn val="ctr"/>
        <c:lblOffset val="100"/>
        <c:noMultiLvlLbl val="0"/>
      </c:catAx>
      <c:valAx>
        <c:axId val="203242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420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PRY!$B$744</c:f>
              <c:strCache>
                <c:ptCount val="1"/>
                <c:pt idx="0">
                  <c:v>INGRESO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PRY!$F$723:$Q$723</c:f>
              <c:strCache>
                <c:ptCount val="12"/>
                <c:pt idx="0">
                  <c:v>2017</c:v>
                </c:pt>
                <c:pt idx="1">
                  <c:v>2018 </c:v>
                </c:pt>
                <c:pt idx="2">
                  <c:v>2019 </c:v>
                </c:pt>
                <c:pt idx="3">
                  <c:v>2020 P</c:v>
                </c:pt>
                <c:pt idx="4">
                  <c:v>2021 P</c:v>
                </c:pt>
                <c:pt idx="5">
                  <c:v>2022 P</c:v>
                </c:pt>
                <c:pt idx="6">
                  <c:v>2023 P</c:v>
                </c:pt>
                <c:pt idx="7">
                  <c:v>2024 P</c:v>
                </c:pt>
                <c:pt idx="8">
                  <c:v>2025 P</c:v>
                </c:pt>
                <c:pt idx="9">
                  <c:v>2026 P</c:v>
                </c:pt>
                <c:pt idx="10">
                  <c:v>2027 P</c:v>
                </c:pt>
                <c:pt idx="11">
                  <c:v>2028 P</c:v>
                </c:pt>
              </c:strCache>
            </c:strRef>
          </c:cat>
          <c:val>
            <c:numRef>
              <c:f>PRY!$F$744:$Q$744</c:f>
              <c:numCache>
                <c:formatCode>#,##0,,</c:formatCode>
                <c:ptCount val="12"/>
                <c:pt idx="1">
                  <c:v>1598417557712.9558</c:v>
                </c:pt>
                <c:pt idx="2">
                  <c:v>1722793689557.3555</c:v>
                </c:pt>
                <c:pt idx="3">
                  <c:v>1850961563141.3853</c:v>
                </c:pt>
                <c:pt idx="4">
                  <c:v>1915256134210.1724</c:v>
                </c:pt>
                <c:pt idx="5">
                  <c:v>1986740654434.0669</c:v>
                </c:pt>
                <c:pt idx="6">
                  <c:v>2054522395130.1873</c:v>
                </c:pt>
                <c:pt idx="7">
                  <c:v>2126738857319.0132</c:v>
                </c:pt>
                <c:pt idx="8">
                  <c:v>2201493728153.7759</c:v>
                </c:pt>
                <c:pt idx="9">
                  <c:v>2278876232698.3809</c:v>
                </c:pt>
                <c:pt idx="10">
                  <c:v>2358978732277.729</c:v>
                </c:pt>
                <c:pt idx="11">
                  <c:v>2370773625939.1177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57-4876-B0EA-B57F76994217}"/>
            </c:ext>
          </c:extLst>
        </c:ser>
        <c:ser>
          <c:idx val="1"/>
          <c:order val="1"/>
          <c:tx>
            <c:strRef>
              <c:f>PRY!$B$745</c:f>
              <c:strCache>
                <c:ptCount val="1"/>
                <c:pt idx="0">
                  <c:v>EGRESO MÉDICO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PRY!$F$723:$Q$723</c:f>
              <c:strCache>
                <c:ptCount val="12"/>
                <c:pt idx="0">
                  <c:v>2017</c:v>
                </c:pt>
                <c:pt idx="1">
                  <c:v>2018 </c:v>
                </c:pt>
                <c:pt idx="2">
                  <c:v>2019 </c:v>
                </c:pt>
                <c:pt idx="3">
                  <c:v>2020 P</c:v>
                </c:pt>
                <c:pt idx="4">
                  <c:v>2021 P</c:v>
                </c:pt>
                <c:pt idx="5">
                  <c:v>2022 P</c:v>
                </c:pt>
                <c:pt idx="6">
                  <c:v>2023 P</c:v>
                </c:pt>
                <c:pt idx="7">
                  <c:v>2024 P</c:v>
                </c:pt>
                <c:pt idx="8">
                  <c:v>2025 P</c:v>
                </c:pt>
                <c:pt idx="9">
                  <c:v>2026 P</c:v>
                </c:pt>
                <c:pt idx="10">
                  <c:v>2027 P</c:v>
                </c:pt>
                <c:pt idx="11">
                  <c:v>2028 P</c:v>
                </c:pt>
              </c:strCache>
            </c:strRef>
          </c:cat>
          <c:val>
            <c:numRef>
              <c:f>PRY!$F$745:$Q$745</c:f>
              <c:numCache>
                <c:formatCode>#,##0,,</c:formatCode>
                <c:ptCount val="12"/>
                <c:pt idx="1">
                  <c:v>1605994516712.717</c:v>
                </c:pt>
                <c:pt idx="2">
                  <c:v>1707452000000</c:v>
                </c:pt>
                <c:pt idx="3">
                  <c:v>1712147197886.7397</c:v>
                </c:pt>
                <c:pt idx="4">
                  <c:v>1854255415311.3391</c:v>
                </c:pt>
                <c:pt idx="5">
                  <c:v>1902466056109.4341</c:v>
                </c:pt>
                <c:pt idx="6">
                  <c:v>1942417843287.7319</c:v>
                </c:pt>
                <c:pt idx="7">
                  <c:v>1983208617996.7742</c:v>
                </c:pt>
                <c:pt idx="8">
                  <c:v>2034772042064.6904</c:v>
                </c:pt>
                <c:pt idx="9">
                  <c:v>2101919519452.825</c:v>
                </c:pt>
                <c:pt idx="10">
                  <c:v>2175486702633.6736</c:v>
                </c:pt>
                <c:pt idx="11">
                  <c:v>2186364136146.8418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7-4876-B0EA-B57F76994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4481648"/>
        <c:axId val="2034480016"/>
      </c:barChart>
      <c:catAx>
        <c:axId val="203448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480016"/>
        <c:crosses val="autoZero"/>
        <c:auto val="1"/>
        <c:lblAlgn val="ctr"/>
        <c:lblOffset val="100"/>
        <c:noMultiLvlLbl val="0"/>
      </c:catAx>
      <c:valAx>
        <c:axId val="203448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COP Millones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481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Caja Vs. Reservas médicas. COP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PRY!$B$607</c:f>
              <c:strCache>
                <c:ptCount val="1"/>
                <c:pt idx="0">
                  <c:v>Reservas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PRY!$D$607:$Q$607</c:f>
              <c:numCache>
                <c:formatCode>#,##0,,</c:formatCode>
                <c:ptCount val="14"/>
                <c:pt idx="0">
                  <c:v>262220908632.70834</c:v>
                </c:pt>
                <c:pt idx="1">
                  <c:v>294829387307.29163</c:v>
                </c:pt>
                <c:pt idx="2">
                  <c:v>374904160063.95837</c:v>
                </c:pt>
                <c:pt idx="3">
                  <c:v>334582190981.81604</c:v>
                </c:pt>
                <c:pt idx="4">
                  <c:v>355719166666.66669</c:v>
                </c:pt>
                <c:pt idx="5">
                  <c:v>356697332893.07074</c:v>
                </c:pt>
                <c:pt idx="6">
                  <c:v>386303211523.19562</c:v>
                </c:pt>
                <c:pt idx="7">
                  <c:v>396347095022.79877</c:v>
                </c:pt>
                <c:pt idx="8">
                  <c:v>404670384018.27753</c:v>
                </c:pt>
                <c:pt idx="9">
                  <c:v>413168462082.66125</c:v>
                </c:pt>
                <c:pt idx="10">
                  <c:v>423910842096.81049</c:v>
                </c:pt>
                <c:pt idx="11">
                  <c:v>437899899886.00519</c:v>
                </c:pt>
                <c:pt idx="12">
                  <c:v>453226396382.01532</c:v>
                </c:pt>
                <c:pt idx="13">
                  <c:v>455492528363.92535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4-4BBC-B075-1EA4D2E7A4C4}"/>
            </c:ext>
          </c:extLst>
        </c:ser>
        <c:ser>
          <c:idx val="2"/>
          <c:order val="2"/>
          <c:tx>
            <c:strRef>
              <c:f>PRY!$B$608</c:f>
              <c:strCache>
                <c:ptCount val="1"/>
                <c:pt idx="0">
                  <c:v>Caja excedente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PRY!$D$608:$Q$608</c:f>
              <c:numCache>
                <c:formatCode>#,##0,,</c:formatCode>
                <c:ptCount val="14"/>
                <c:pt idx="0">
                  <c:v>-251391183845.70834</c:v>
                </c:pt>
                <c:pt idx="1">
                  <c:v>-274217779972.29163</c:v>
                </c:pt>
                <c:pt idx="2">
                  <c:v>-335316939116.95837</c:v>
                </c:pt>
                <c:pt idx="3">
                  <c:v>-272900692266.83179</c:v>
                </c:pt>
                <c:pt idx="4">
                  <c:v>-136786645833.45908</c:v>
                </c:pt>
                <c:pt idx="5">
                  <c:v>-103078511641.99475</c:v>
                </c:pt>
                <c:pt idx="6">
                  <c:v>-46557299302.512634</c:v>
                </c:pt>
                <c:pt idx="7">
                  <c:v>1367296684.8582764</c:v>
                </c:pt>
                <c:pt idx="8">
                  <c:v>167981140839.15985</c:v>
                </c:pt>
                <c:pt idx="9">
                  <c:v>233697814677.82703</c:v>
                </c:pt>
                <c:pt idx="10">
                  <c:v>322626548754.76398</c:v>
                </c:pt>
                <c:pt idx="11">
                  <c:v>422922479469.84088</c:v>
                </c:pt>
                <c:pt idx="12">
                  <c:v>527896288672.67902</c:v>
                </c:pt>
                <c:pt idx="13">
                  <c:v>617470758718.96167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94-4BBC-B075-1EA4D2E7A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4487632"/>
        <c:axId val="2034488176"/>
      </c:barChart>
      <c:lineChart>
        <c:grouping val="standard"/>
        <c:varyColors val="0"/>
        <c:ser>
          <c:idx val="0"/>
          <c:order val="0"/>
          <c:tx>
            <c:strRef>
              <c:f>PRY!$B$606</c:f>
              <c:strCache>
                <c:ptCount val="1"/>
                <c:pt idx="0">
                  <c:v>Caja 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PRY!$D$606:$Q$606</c:f>
              <c:numCache>
                <c:formatCode>#,##0,,</c:formatCode>
                <c:ptCount val="14"/>
                <c:pt idx="0">
                  <c:v>10829724787</c:v>
                </c:pt>
                <c:pt idx="1">
                  <c:v>20611607335</c:v>
                </c:pt>
                <c:pt idx="2">
                  <c:v>39587220947</c:v>
                </c:pt>
                <c:pt idx="3">
                  <c:v>61681498714.984261</c:v>
                </c:pt>
                <c:pt idx="4">
                  <c:v>218932520833.20761</c:v>
                </c:pt>
                <c:pt idx="5">
                  <c:v>253618821251.07599</c:v>
                </c:pt>
                <c:pt idx="6">
                  <c:v>339745912220.68298</c:v>
                </c:pt>
                <c:pt idx="7">
                  <c:v>397714391707.65704</c:v>
                </c:pt>
                <c:pt idx="8">
                  <c:v>572651524857.43738</c:v>
                </c:pt>
                <c:pt idx="9">
                  <c:v>646866276760.48828</c:v>
                </c:pt>
                <c:pt idx="10">
                  <c:v>746537390851.57446</c:v>
                </c:pt>
                <c:pt idx="11">
                  <c:v>860822379355.84607</c:v>
                </c:pt>
                <c:pt idx="12">
                  <c:v>981122685054.69434</c:v>
                </c:pt>
                <c:pt idx="13">
                  <c:v>1072963287082.887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1-42D7-AAB7-9A6284DF7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4487632"/>
        <c:axId val="2034488176"/>
      </c:lineChart>
      <c:catAx>
        <c:axId val="203448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488176"/>
        <c:crosses val="autoZero"/>
        <c:auto val="1"/>
        <c:lblAlgn val="ctr"/>
        <c:lblOffset val="100"/>
        <c:noMultiLvlLbl val="0"/>
      </c:catAx>
      <c:valAx>
        <c:axId val="203448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48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Gastos y Otros No Operacionales sobre ventas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PRY!$B$613</c:f>
              <c:strCache>
                <c:ptCount val="1"/>
                <c:pt idx="0">
                  <c:v>Gasto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PRY!$D$613:$Q$613</c:f>
              <c:numCache>
                <c:formatCode>0%</c:formatCode>
                <c:ptCount val="14"/>
                <c:pt idx="0">
                  <c:v>-5.5047679294952481E-2</c:v>
                </c:pt>
                <c:pt idx="1">
                  <c:v>-5.309234501836043E-2</c:v>
                </c:pt>
                <c:pt idx="2">
                  <c:v>-3.8564356581435789E-2</c:v>
                </c:pt>
                <c:pt idx="3">
                  <c:v>-4.008218298094527E-2</c:v>
                </c:pt>
                <c:pt idx="4">
                  <c:v>-4.4724883807774944E-2</c:v>
                </c:pt>
                <c:pt idx="5">
                  <c:v>-4.3985785595770224E-2</c:v>
                </c:pt>
                <c:pt idx="6">
                  <c:v>-4.4488721336434778E-2</c:v>
                </c:pt>
                <c:pt idx="7">
                  <c:v>-4.4668779759769954E-2</c:v>
                </c:pt>
                <c:pt idx="8">
                  <c:v>-4.4880139998421595E-2</c:v>
                </c:pt>
                <c:pt idx="9">
                  <c:v>-4.5061016367823795E-2</c:v>
                </c:pt>
                <c:pt idx="10">
                  <c:v>-4.5270157805100519E-2</c:v>
                </c:pt>
                <c:pt idx="11">
                  <c:v>-4.5480305563674134E-2</c:v>
                </c:pt>
                <c:pt idx="12">
                  <c:v>-4.5691295270730632E-2</c:v>
                </c:pt>
                <c:pt idx="13">
                  <c:v>-4.7278045183869584E-2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E-441B-A8CE-8B5D6DA463BB}"/>
            </c:ext>
          </c:extLst>
        </c:ser>
        <c:ser>
          <c:idx val="2"/>
          <c:order val="1"/>
          <c:tx>
            <c:strRef>
              <c:f>PRY!$B$614</c:f>
              <c:strCache>
                <c:ptCount val="1"/>
                <c:pt idx="0">
                  <c:v>O.Ingreso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PRY!$D$614:$Q$614</c:f>
              <c:numCache>
                <c:formatCode>0%</c:formatCode>
                <c:ptCount val="14"/>
                <c:pt idx="0">
                  <c:v>3.0436204037598617E-2</c:v>
                </c:pt>
                <c:pt idx="1">
                  <c:v>3.4900062060137481E-2</c:v>
                </c:pt>
                <c:pt idx="2">
                  <c:v>1.4705682523895099E-2</c:v>
                </c:pt>
                <c:pt idx="3">
                  <c:v>2.7099999999999999E-2</c:v>
                </c:pt>
                <c:pt idx="4">
                  <c:v>0.11654072216469771</c:v>
                </c:pt>
                <c:pt idx="5">
                  <c:v>4.9574497004016699E-3</c:v>
                </c:pt>
                <c:pt idx="6">
                  <c:v>1.5732575697150589E-2</c:v>
                </c:pt>
                <c:pt idx="7">
                  <c:v>1.6189262778283694E-2</c:v>
                </c:pt>
                <c:pt idx="8">
                  <c:v>1.6444045426027492E-2</c:v>
                </c:pt>
                <c:pt idx="9">
                  <c:v>1.273056744769174E-2</c:v>
                </c:pt>
                <c:pt idx="10">
                  <c:v>1.2819259053063095E-2</c:v>
                </c:pt>
                <c:pt idx="11">
                  <c:v>1.2794390661428219E-2</c:v>
                </c:pt>
                <c:pt idx="12">
                  <c:v>1.2774240888071135E-2</c:v>
                </c:pt>
                <c:pt idx="13">
                  <c:v>1.2817572822123481E-2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E-441B-A8CE-8B5D6DA463BB}"/>
            </c:ext>
          </c:extLst>
        </c:ser>
        <c:ser>
          <c:idx val="3"/>
          <c:order val="2"/>
          <c:tx>
            <c:strRef>
              <c:f>PRY!$B$615</c:f>
              <c:strCache>
                <c:ptCount val="1"/>
                <c:pt idx="0">
                  <c:v>O.Egreso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PRY!$D$615:$Q$615</c:f>
              <c:numCache>
                <c:formatCode>0%</c:formatCode>
                <c:ptCount val="14"/>
                <c:pt idx="0">
                  <c:v>-9.9100490795659985E-3</c:v>
                </c:pt>
                <c:pt idx="1">
                  <c:v>-2.1916611348742041E-2</c:v>
                </c:pt>
                <c:pt idx="2">
                  <c:v>-3.748106672122423E-3</c:v>
                </c:pt>
                <c:pt idx="3">
                  <c:v>-6.3781831917482101E-3</c:v>
                </c:pt>
                <c:pt idx="4">
                  <c:v>-8.8040866947319048E-3</c:v>
                </c:pt>
                <c:pt idx="5">
                  <c:v>-2.3043582616384117E-2</c:v>
                </c:pt>
                <c:pt idx="6">
                  <c:v>-6.8424566792495154E-3</c:v>
                </c:pt>
                <c:pt idx="7">
                  <c:v>-6.7742152513981515E-3</c:v>
                </c:pt>
                <c:pt idx="8">
                  <c:v>-6.7279710067211524E-3</c:v>
                </c:pt>
                <c:pt idx="9">
                  <c:v>-6.675878456561422E-3</c:v>
                </c:pt>
                <c:pt idx="10">
                  <c:v>-6.624677344026747E-3</c:v>
                </c:pt>
                <c:pt idx="11">
                  <c:v>-6.5743417644470925E-3</c:v>
                </c:pt>
                <c:pt idx="12">
                  <c:v>-6.524846671064316E-3</c:v>
                </c:pt>
                <c:pt idx="13">
                  <c:v>-6.6704528813888494E-3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8E-441B-A8CE-8B5D6DA463BB}"/>
            </c:ext>
          </c:extLst>
        </c:ser>
        <c:ser>
          <c:idx val="4"/>
          <c:order val="3"/>
          <c:tx>
            <c:strRef>
              <c:f>PRY!$B$616</c:f>
              <c:strCache>
                <c:ptCount val="1"/>
                <c:pt idx="0">
                  <c:v>Impuesto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PRY!$D$616:$Q$616</c:f>
              <c:numCache>
                <c:formatCode>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8E-441B-A8CE-8B5D6DA46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4475120"/>
        <c:axId val="2034482736"/>
      </c:barChart>
      <c:catAx>
        <c:axId val="203447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482736"/>
        <c:crosses val="autoZero"/>
        <c:auto val="1"/>
        <c:lblAlgn val="ctr"/>
        <c:lblOffset val="100"/>
        <c:noMultiLvlLbl val="0"/>
      </c:catAx>
      <c:valAx>
        <c:axId val="203448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47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Endeudamiento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PRY!$B$567</c:f>
              <c:strCache>
                <c:ptCount val="1"/>
                <c:pt idx="0">
                  <c:v>Nivel de endeudamiento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PRY!$D$567:$Q$567</c:f>
              <c:numCache>
                <c:formatCode>#,##0.00</c:formatCode>
                <c:ptCount val="14"/>
                <c:pt idx="0">
                  <c:v>1.891872652832655</c:v>
                </c:pt>
                <c:pt idx="1">
                  <c:v>2.2381005348022716</c:v>
                </c:pt>
                <c:pt idx="2">
                  <c:v>3.1568909931683922</c:v>
                </c:pt>
                <c:pt idx="3">
                  <c:v>2.9879994040652567</c:v>
                </c:pt>
                <c:pt idx="4">
                  <c:v>2.0938021319255276</c:v>
                </c:pt>
                <c:pt idx="5">
                  <c:v>2.0001681069111346</c:v>
                </c:pt>
                <c:pt idx="6">
                  <c:v>1.9047226678165541</c:v>
                </c:pt>
                <c:pt idx="7">
                  <c:v>1.7848000195442839</c:v>
                </c:pt>
                <c:pt idx="8">
                  <c:v>1.4386267832345934</c:v>
                </c:pt>
                <c:pt idx="9">
                  <c:v>1.2990163232395462</c:v>
                </c:pt>
                <c:pt idx="10">
                  <c:v>1.1877482290955266</c:v>
                </c:pt>
                <c:pt idx="11">
                  <c:v>1.0906558059716589</c:v>
                </c:pt>
                <c:pt idx="12">
                  <c:v>1.0101063168894768</c:v>
                </c:pt>
                <c:pt idx="13">
                  <c:v>0.94560420121315858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B-4EB6-B955-14DDE8D1A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7449920"/>
        <c:axId val="1877458080"/>
      </c:barChart>
      <c:lineChart>
        <c:grouping val="standard"/>
        <c:varyColors val="0"/>
        <c:ser>
          <c:idx val="1"/>
          <c:order val="1"/>
          <c:tx>
            <c:strRef>
              <c:f>PRY!$B$568</c:f>
              <c:strCache>
                <c:ptCount val="1"/>
                <c:pt idx="0">
                  <c:v>Objetivo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PRY!$D$568:$Q$568</c:f>
              <c:numCache>
                <c:formatCode>#,##0.00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B-4EB6-B955-14DDE8D1A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449920"/>
        <c:axId val="1877458080"/>
      </c:lineChart>
      <c:catAx>
        <c:axId val="18774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77458080"/>
        <c:crosses val="autoZero"/>
        <c:auto val="1"/>
        <c:lblAlgn val="ctr"/>
        <c:lblOffset val="100"/>
        <c:noMultiLvlLbl val="0"/>
      </c:catAx>
      <c:valAx>
        <c:axId val="187745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7744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Márgenes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PRY!$B$622</c:f>
              <c:strCache>
                <c:ptCount val="1"/>
                <c:pt idx="0">
                  <c:v>M. Bruto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PRY!$D$622:$Q$622</c:f>
              <c:numCache>
                <c:formatCode>0%</c:formatCode>
                <c:ptCount val="14"/>
                <c:pt idx="0">
                  <c:v>-5.7319742973710924E-2</c:v>
                </c:pt>
                <c:pt idx="1">
                  <c:v>-4.8318402234322204E-2</c:v>
                </c:pt>
                <c:pt idx="2">
                  <c:v>-0.24586030636604433</c:v>
                </c:pt>
                <c:pt idx="3">
                  <c:v>-4.7402876446142632E-3</c:v>
                </c:pt>
                <c:pt idx="4">
                  <c:v>8.9051229119008861E-3</c:v>
                </c:pt>
                <c:pt idx="5">
                  <c:v>7.4995811916836769E-2</c:v>
                </c:pt>
                <c:pt idx="6">
                  <c:v>3.1849901331337693E-2</c:v>
                </c:pt>
                <c:pt idx="7">
                  <c:v>4.2418520070320327E-2</c:v>
                </c:pt>
                <c:pt idx="8">
                  <c:v>5.4564774814903724E-2</c:v>
                </c:pt>
                <c:pt idx="9">
                  <c:v>6.748841722070878E-2</c:v>
                </c:pt>
                <c:pt idx="10">
                  <c:v>7.5731165597688138E-2</c:v>
                </c:pt>
                <c:pt idx="11">
                  <c:v>7.76508661183518E-2</c:v>
                </c:pt>
                <c:pt idx="12">
                  <c:v>7.7784520535665605E-2</c:v>
                </c:pt>
                <c:pt idx="13">
                  <c:v>7.7784520535665674E-2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1-42D7-AAB7-9A6284DF7C70}"/>
            </c:ext>
          </c:extLst>
        </c:ser>
        <c:ser>
          <c:idx val="1"/>
          <c:order val="1"/>
          <c:tx>
            <c:strRef>
              <c:f>PRY!$B$623</c:f>
              <c:strCache>
                <c:ptCount val="1"/>
                <c:pt idx="0">
                  <c:v>M. Operacional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PRY!$D$623:$Q$623</c:f>
              <c:numCache>
                <c:formatCode>0%</c:formatCode>
                <c:ptCount val="14"/>
                <c:pt idx="0">
                  <c:v>-0.11236742226866341</c:v>
                </c:pt>
                <c:pt idx="1">
                  <c:v>-0.10141074725268263</c:v>
                </c:pt>
                <c:pt idx="2">
                  <c:v>-0.28442466294748014</c:v>
                </c:pt>
                <c:pt idx="3">
                  <c:v>-4.4822470625559524E-2</c:v>
                </c:pt>
                <c:pt idx="4">
                  <c:v>-3.5819760895874062E-2</c:v>
                </c:pt>
                <c:pt idx="5">
                  <c:v>3.1010026321066544E-2</c:v>
                </c:pt>
                <c:pt idx="6">
                  <c:v>-1.2638820005097083E-2</c:v>
                </c:pt>
                <c:pt idx="7">
                  <c:v>-2.2502596894496264E-3</c:v>
                </c:pt>
                <c:pt idx="8">
                  <c:v>9.6846348164821329E-3</c:v>
                </c:pt>
                <c:pt idx="9">
                  <c:v>2.2427400852884992E-2</c:v>
                </c:pt>
                <c:pt idx="10">
                  <c:v>3.0461007792587626E-2</c:v>
                </c:pt>
                <c:pt idx="11">
                  <c:v>3.2170560554677673E-2</c:v>
                </c:pt>
                <c:pt idx="12">
                  <c:v>3.2093225264934973E-2</c:v>
                </c:pt>
                <c:pt idx="13">
                  <c:v>3.0506475351796094E-2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8-4405-A2D9-697E1317AD0B}"/>
            </c:ext>
          </c:extLst>
        </c:ser>
        <c:ser>
          <c:idx val="2"/>
          <c:order val="2"/>
          <c:tx>
            <c:strRef>
              <c:f>PRY!$B$624</c:f>
              <c:strCache>
                <c:ptCount val="1"/>
                <c:pt idx="0">
                  <c:v>EBT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PRY!$D$624:$Q$624</c:f>
              <c:numCache>
                <c:formatCode>0%</c:formatCode>
                <c:ptCount val="14"/>
                <c:pt idx="0">
                  <c:v>-9.1841267310630789E-2</c:v>
                </c:pt>
                <c:pt idx="1">
                  <c:v>-8.8427296541287198E-2</c:v>
                </c:pt>
                <c:pt idx="2">
                  <c:v>-0.27346708709570744</c:v>
                </c:pt>
                <c:pt idx="3">
                  <c:v>-2.4100653817307735E-2</c:v>
                </c:pt>
                <c:pt idx="4">
                  <c:v>7.1916874574091752E-2</c:v>
                </c:pt>
                <c:pt idx="5">
                  <c:v>1.2923893405084095E-2</c:v>
                </c:pt>
                <c:pt idx="6">
                  <c:v>-3.7487009871960079E-3</c:v>
                </c:pt>
                <c:pt idx="7">
                  <c:v>7.1647878374359146E-3</c:v>
                </c:pt>
                <c:pt idx="8">
                  <c:v>1.9400709235788471E-2</c:v>
                </c:pt>
                <c:pt idx="9">
                  <c:v>2.8482089844015311E-2</c:v>
                </c:pt>
                <c:pt idx="10">
                  <c:v>3.6655589501623974E-2</c:v>
                </c:pt>
                <c:pt idx="11">
                  <c:v>3.8390609451658807E-2</c:v>
                </c:pt>
                <c:pt idx="12">
                  <c:v>3.8342619481941793E-2</c:v>
                </c:pt>
                <c:pt idx="13">
                  <c:v>3.6653595292530726E-2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58-4405-A2D9-697E1317AD0B}"/>
            </c:ext>
          </c:extLst>
        </c:ser>
        <c:ser>
          <c:idx val="3"/>
          <c:order val="3"/>
          <c:tx>
            <c:strRef>
              <c:f>PRY!$B$625</c:f>
              <c:strCache>
                <c:ptCount val="1"/>
                <c:pt idx="0">
                  <c:v>M. Neto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PRY!$D$625:$Q$625</c:f>
              <c:numCache>
                <c:formatCode>0%</c:formatCode>
                <c:ptCount val="14"/>
                <c:pt idx="0">
                  <c:v>-9.1841267310630789E-2</c:v>
                </c:pt>
                <c:pt idx="1">
                  <c:v>-8.8427296541287198E-2</c:v>
                </c:pt>
                <c:pt idx="2">
                  <c:v>-0.27346708709570744</c:v>
                </c:pt>
                <c:pt idx="3">
                  <c:v>-2.4100653817307735E-2</c:v>
                </c:pt>
                <c:pt idx="4">
                  <c:v>7.1916874574091752E-2</c:v>
                </c:pt>
                <c:pt idx="5">
                  <c:v>1.2923893405084095E-2</c:v>
                </c:pt>
                <c:pt idx="6">
                  <c:v>-3.7487009871960079E-3</c:v>
                </c:pt>
                <c:pt idx="7">
                  <c:v>7.1647878374359146E-3</c:v>
                </c:pt>
                <c:pt idx="8">
                  <c:v>1.9400709235788471E-2</c:v>
                </c:pt>
                <c:pt idx="9">
                  <c:v>2.8482089844015311E-2</c:v>
                </c:pt>
                <c:pt idx="10">
                  <c:v>3.6655589501623974E-2</c:v>
                </c:pt>
                <c:pt idx="11">
                  <c:v>3.8390609451658807E-2</c:v>
                </c:pt>
                <c:pt idx="12">
                  <c:v>3.8342619481941793E-2</c:v>
                </c:pt>
                <c:pt idx="13">
                  <c:v>3.6653595292530726E-2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58-4405-A2D9-697E1317A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4479472"/>
        <c:axId val="2034489808"/>
      </c:lineChart>
      <c:catAx>
        <c:axId val="203447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489808"/>
        <c:crosses val="autoZero"/>
        <c:auto val="1"/>
        <c:lblAlgn val="ctr"/>
        <c:lblOffset val="100"/>
        <c:noMultiLvlLbl val="0"/>
      </c:catAx>
      <c:valAx>
        <c:axId val="2034489808"/>
        <c:scaling>
          <c:orientation val="minMax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479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Endeudamiento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PRY!$B$567</c:f>
              <c:strCache>
                <c:ptCount val="1"/>
                <c:pt idx="0">
                  <c:v>Nivel de endeudamiento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PRY!$D$567:$Q$567</c:f>
              <c:numCache>
                <c:formatCode>#,##0.00</c:formatCode>
                <c:ptCount val="14"/>
                <c:pt idx="0">
                  <c:v>1.891872652832655</c:v>
                </c:pt>
                <c:pt idx="1">
                  <c:v>2.2381005348022716</c:v>
                </c:pt>
                <c:pt idx="2">
                  <c:v>3.1568909931683922</c:v>
                </c:pt>
                <c:pt idx="3">
                  <c:v>2.9879994040652567</c:v>
                </c:pt>
                <c:pt idx="4">
                  <c:v>2.0938021319255276</c:v>
                </c:pt>
                <c:pt idx="5">
                  <c:v>2.0001681069111346</c:v>
                </c:pt>
                <c:pt idx="6">
                  <c:v>1.9047226678165541</c:v>
                </c:pt>
                <c:pt idx="7">
                  <c:v>1.7848000195442839</c:v>
                </c:pt>
                <c:pt idx="8">
                  <c:v>1.4386267832345934</c:v>
                </c:pt>
                <c:pt idx="9">
                  <c:v>1.2990163232395462</c:v>
                </c:pt>
                <c:pt idx="10">
                  <c:v>1.1877482290955266</c:v>
                </c:pt>
                <c:pt idx="11">
                  <c:v>1.0906558059716589</c:v>
                </c:pt>
                <c:pt idx="12">
                  <c:v>1.0101063168894768</c:v>
                </c:pt>
                <c:pt idx="13">
                  <c:v>0.94560420121315858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B-4EB6-B955-14DDE8D1A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4485456"/>
        <c:axId val="2034486000"/>
      </c:barChart>
      <c:lineChart>
        <c:grouping val="standard"/>
        <c:varyColors val="0"/>
        <c:ser>
          <c:idx val="1"/>
          <c:order val="1"/>
          <c:tx>
            <c:strRef>
              <c:f>PRY!$B$568</c:f>
              <c:strCache>
                <c:ptCount val="1"/>
                <c:pt idx="0">
                  <c:v>Objetivo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PRY!$D$568:$Q$568</c:f>
              <c:numCache>
                <c:formatCode>#,##0.00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B-4EB6-B955-14DDE8D1A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4485456"/>
        <c:axId val="2034486000"/>
      </c:lineChart>
      <c:catAx>
        <c:axId val="203448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486000"/>
        <c:crosses val="autoZero"/>
        <c:auto val="1"/>
        <c:lblAlgn val="ctr"/>
        <c:lblOffset val="100"/>
        <c:noMultiLvlLbl val="0"/>
      </c:catAx>
      <c:valAx>
        <c:axId val="203448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48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Margen Neto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PRY!$B$582</c:f>
              <c:strCache>
                <c:ptCount val="1"/>
                <c:pt idx="0">
                  <c:v>Margen neto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PRY!$D$582:$Q$582</c:f>
              <c:numCache>
                <c:formatCode>0%</c:formatCode>
                <c:ptCount val="14"/>
                <c:pt idx="0">
                  <c:v>-9.1841267310630789E-2</c:v>
                </c:pt>
                <c:pt idx="1">
                  <c:v>-8.8427296541287198E-2</c:v>
                </c:pt>
                <c:pt idx="2">
                  <c:v>-0.27346708709570744</c:v>
                </c:pt>
                <c:pt idx="3">
                  <c:v>-2.4100653817307735E-2</c:v>
                </c:pt>
                <c:pt idx="4">
                  <c:v>7.1916874574091752E-2</c:v>
                </c:pt>
                <c:pt idx="5">
                  <c:v>1.2923893405084095E-2</c:v>
                </c:pt>
                <c:pt idx="6">
                  <c:v>-3.7487009871960079E-3</c:v>
                </c:pt>
                <c:pt idx="7">
                  <c:v>7.1647878374359146E-3</c:v>
                </c:pt>
                <c:pt idx="8">
                  <c:v>1.9400709235788471E-2</c:v>
                </c:pt>
                <c:pt idx="9">
                  <c:v>2.8482089844015311E-2</c:v>
                </c:pt>
                <c:pt idx="10">
                  <c:v>3.6655589501623974E-2</c:v>
                </c:pt>
                <c:pt idx="11">
                  <c:v>3.8390609451658807E-2</c:v>
                </c:pt>
                <c:pt idx="12">
                  <c:v>3.8342619481941793E-2</c:v>
                </c:pt>
                <c:pt idx="13">
                  <c:v>3.6653595292530726E-2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9-427E-819C-E4FD6207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4488720"/>
        <c:axId val="2034489264"/>
      </c:barChart>
      <c:catAx>
        <c:axId val="203448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489264"/>
        <c:crosses val="autoZero"/>
        <c:auto val="1"/>
        <c:lblAlgn val="ctr"/>
        <c:lblOffset val="100"/>
        <c:noMultiLvlLbl val="0"/>
      </c:catAx>
      <c:valAx>
        <c:axId val="203448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4488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Patrimonio. COP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PRY!$B$602</c:f>
              <c:strCache>
                <c:ptCount val="1"/>
                <c:pt idx="0">
                  <c:v>Patrimonio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PRY!$D$602:$Q$602</c:f>
              <c:numCache>
                <c:formatCode>#,##0,,</c:formatCode>
                <c:ptCount val="14"/>
                <c:pt idx="0">
                  <c:v>-169498417215</c:v>
                </c:pt>
                <c:pt idx="1">
                  <c:v>-288871152544</c:v>
                </c:pt>
                <c:pt idx="2">
                  <c:v>-672239351599</c:v>
                </c:pt>
                <c:pt idx="3">
                  <c:v>-710762259812.94641</c:v>
                </c:pt>
                <c:pt idx="4">
                  <c:v>-586864322124.01331</c:v>
                </c:pt>
                <c:pt idx="5">
                  <c:v>-562942692185.06616</c:v>
                </c:pt>
                <c:pt idx="6">
                  <c:v>-570122414746.11304</c:v>
                </c:pt>
                <c:pt idx="7">
                  <c:v>-525887839469.08435</c:v>
                </c:pt>
                <c:pt idx="8">
                  <c:v>-362028647862.74786</c:v>
                </c:pt>
                <c:pt idx="9">
                  <c:v>-271454680653.82935</c:v>
                </c:pt>
                <c:pt idx="10">
                  <c:v>-190757630264.22479</c:v>
                </c:pt>
                <c:pt idx="11">
                  <c:v>-103270182826.03372</c:v>
                </c:pt>
                <c:pt idx="12">
                  <c:v>-12820758928.315292</c:v>
                </c:pt>
                <c:pt idx="13">
                  <c:v>74076618087.062729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E-4DB8-8053-083A523F0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5091264"/>
        <c:axId val="2035091808"/>
      </c:areaChart>
      <c:catAx>
        <c:axId val="203509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5091808"/>
        <c:crosses val="autoZero"/>
        <c:auto val="1"/>
        <c:lblAlgn val="ctr"/>
        <c:lblOffset val="100"/>
        <c:noMultiLvlLbl val="0"/>
      </c:catAx>
      <c:valAx>
        <c:axId val="203509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5091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Caja Vs. Reservas médicas. COP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PRY!$B$607</c:f>
              <c:strCache>
                <c:ptCount val="1"/>
                <c:pt idx="0">
                  <c:v>Reservas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PRY!$D$607:$Q$607</c:f>
              <c:numCache>
                <c:formatCode>#,##0,,</c:formatCode>
                <c:ptCount val="14"/>
                <c:pt idx="0">
                  <c:v>262220908632.70834</c:v>
                </c:pt>
                <c:pt idx="1">
                  <c:v>294829387307.29163</c:v>
                </c:pt>
                <c:pt idx="2">
                  <c:v>374904160063.95837</c:v>
                </c:pt>
                <c:pt idx="3">
                  <c:v>334582190981.81604</c:v>
                </c:pt>
                <c:pt idx="4">
                  <c:v>355719166666.66669</c:v>
                </c:pt>
                <c:pt idx="5">
                  <c:v>356697332893.07074</c:v>
                </c:pt>
                <c:pt idx="6">
                  <c:v>386303211523.19562</c:v>
                </c:pt>
                <c:pt idx="7">
                  <c:v>396347095022.79877</c:v>
                </c:pt>
                <c:pt idx="8">
                  <c:v>404670384018.27753</c:v>
                </c:pt>
                <c:pt idx="9">
                  <c:v>413168462082.66125</c:v>
                </c:pt>
                <c:pt idx="10">
                  <c:v>423910842096.81049</c:v>
                </c:pt>
                <c:pt idx="11">
                  <c:v>437899899886.00519</c:v>
                </c:pt>
                <c:pt idx="12">
                  <c:v>453226396382.01532</c:v>
                </c:pt>
                <c:pt idx="13">
                  <c:v>455492528363.92535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7-49D6-9EFC-9AB90392A3D1}"/>
            </c:ext>
          </c:extLst>
        </c:ser>
        <c:ser>
          <c:idx val="2"/>
          <c:order val="2"/>
          <c:tx>
            <c:strRef>
              <c:f>PRY!$B$608</c:f>
              <c:strCache>
                <c:ptCount val="1"/>
                <c:pt idx="0">
                  <c:v>Caja excedente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PRY!$D$608:$Q$608</c:f>
              <c:numCache>
                <c:formatCode>#,##0,,</c:formatCode>
                <c:ptCount val="14"/>
                <c:pt idx="0">
                  <c:v>-251391183845.70834</c:v>
                </c:pt>
                <c:pt idx="1">
                  <c:v>-274217779972.29163</c:v>
                </c:pt>
                <c:pt idx="2">
                  <c:v>-335316939116.95837</c:v>
                </c:pt>
                <c:pt idx="3">
                  <c:v>-272900692266.83179</c:v>
                </c:pt>
                <c:pt idx="4">
                  <c:v>-136786645833.45908</c:v>
                </c:pt>
                <c:pt idx="5">
                  <c:v>-103078511641.99475</c:v>
                </c:pt>
                <c:pt idx="6">
                  <c:v>-46557299302.512634</c:v>
                </c:pt>
                <c:pt idx="7">
                  <c:v>1367296684.8582764</c:v>
                </c:pt>
                <c:pt idx="8">
                  <c:v>167981140839.15985</c:v>
                </c:pt>
                <c:pt idx="9">
                  <c:v>233697814677.82703</c:v>
                </c:pt>
                <c:pt idx="10">
                  <c:v>322626548754.76398</c:v>
                </c:pt>
                <c:pt idx="11">
                  <c:v>422922479469.84088</c:v>
                </c:pt>
                <c:pt idx="12">
                  <c:v>527896288672.67902</c:v>
                </c:pt>
                <c:pt idx="13">
                  <c:v>617470758718.96167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57-49D6-9EFC-9AB90392A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5083648"/>
        <c:axId val="2035094528"/>
      </c:barChart>
      <c:lineChart>
        <c:grouping val="standard"/>
        <c:varyColors val="0"/>
        <c:ser>
          <c:idx val="0"/>
          <c:order val="0"/>
          <c:tx>
            <c:strRef>
              <c:f>PRY!$B$606</c:f>
              <c:strCache>
                <c:ptCount val="1"/>
                <c:pt idx="0">
                  <c:v>Caja 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PRY!$D$606:$Q$606</c:f>
              <c:numCache>
                <c:formatCode>#,##0,,</c:formatCode>
                <c:ptCount val="14"/>
                <c:pt idx="0">
                  <c:v>10829724787</c:v>
                </c:pt>
                <c:pt idx="1">
                  <c:v>20611607335</c:v>
                </c:pt>
                <c:pt idx="2">
                  <c:v>39587220947</c:v>
                </c:pt>
                <c:pt idx="3">
                  <c:v>61681498714.984261</c:v>
                </c:pt>
                <c:pt idx="4">
                  <c:v>218932520833.20761</c:v>
                </c:pt>
                <c:pt idx="5">
                  <c:v>253618821251.07599</c:v>
                </c:pt>
                <c:pt idx="6">
                  <c:v>339745912220.68298</c:v>
                </c:pt>
                <c:pt idx="7">
                  <c:v>397714391707.65704</c:v>
                </c:pt>
                <c:pt idx="8">
                  <c:v>572651524857.43738</c:v>
                </c:pt>
                <c:pt idx="9">
                  <c:v>646866276760.48828</c:v>
                </c:pt>
                <c:pt idx="10">
                  <c:v>746537390851.57446</c:v>
                </c:pt>
                <c:pt idx="11">
                  <c:v>860822379355.84607</c:v>
                </c:pt>
                <c:pt idx="12">
                  <c:v>981122685054.69434</c:v>
                </c:pt>
                <c:pt idx="13">
                  <c:v>1072963287082.887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7-49D6-9EFC-9AB90392A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5083648"/>
        <c:axId val="2035094528"/>
      </c:lineChart>
      <c:catAx>
        <c:axId val="203508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5094528"/>
        <c:crosses val="autoZero"/>
        <c:auto val="1"/>
        <c:lblAlgn val="ctr"/>
        <c:lblOffset val="100"/>
        <c:noMultiLvlLbl val="0"/>
      </c:catAx>
      <c:valAx>
        <c:axId val="203509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5083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ESCALONES</a:t>
            </a:r>
            <a:r>
              <a:rPr lang="es-ES" baseline="0"/>
              <a:t> DE VALOR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PRY!$B$827</c:f>
              <c:strCache>
                <c:ptCount val="1"/>
                <c:pt idx="0">
                  <c:v>BASE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PRY!$C$827:$K$827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PRY!$C$826:$K$826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352-493B-BD54-992100D08EBF}"/>
            </c:ext>
          </c:extLst>
        </c:ser>
        <c:ser>
          <c:idx val="1"/>
          <c:order val="1"/>
          <c:tx>
            <c:strRef>
              <c:f>PRY!$B$828</c:f>
              <c:strCache>
                <c:ptCount val="1"/>
                <c:pt idx="0">
                  <c:v>EXPLICITO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PRY!$C$828:$K$828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PRY!$C$826:$K$826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2352-493B-BD54-992100D08EBF}"/>
            </c:ext>
          </c:extLst>
        </c:ser>
        <c:ser>
          <c:idx val="2"/>
          <c:order val="2"/>
          <c:tx>
            <c:strRef>
              <c:f>PRY!$B$829</c:f>
              <c:strCache>
                <c:ptCount val="1"/>
                <c:pt idx="0">
                  <c:v>PERPETUO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PRY!$C$829:$K$829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PRY!$C$826:$K$826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2352-493B-BD54-992100D08EBF}"/>
            </c:ext>
          </c:extLst>
        </c:ser>
        <c:ser>
          <c:idx val="3"/>
          <c:order val="3"/>
          <c:tx>
            <c:strRef>
              <c:f>PRY!$B$830</c:f>
              <c:strCache>
                <c:ptCount val="1"/>
                <c:pt idx="0">
                  <c:v>VALOR SIN CONT.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PRY!$C$830:$K$830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PRY!$C$826:$K$826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2352-493B-BD54-992100D08EBF}"/>
            </c:ext>
          </c:extLst>
        </c:ser>
        <c:ser>
          <c:idx val="4"/>
          <c:order val="4"/>
          <c:tx>
            <c:strRef>
              <c:f>PRY!$B$831</c:f>
              <c:strCache>
                <c:ptCount val="1"/>
                <c:pt idx="0">
                  <c:v>CONTINGENCIAS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PRY!$C$831:$K$831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PRY!$C$826:$K$826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2352-493B-BD54-992100D08EBF}"/>
            </c:ext>
          </c:extLst>
        </c:ser>
        <c:ser>
          <c:idx val="5"/>
          <c:order val="5"/>
          <c:tx>
            <c:strRef>
              <c:f>PRY!$B$832</c:f>
              <c:strCache>
                <c:ptCount val="1"/>
                <c:pt idx="0">
                  <c:v>VALOR (1)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PRY!$C$832:$K$832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PRY!$C$826:$K$826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2352-493B-BD54-992100D08EBF}"/>
            </c:ext>
          </c:extLst>
        </c:ser>
        <c:ser>
          <c:idx val="6"/>
          <c:order val="6"/>
          <c:tx>
            <c:strRef>
              <c:f>PRY!$B$833</c:f>
              <c:strCache>
                <c:ptCount val="1"/>
                <c:pt idx="0">
                  <c:v>ACREENCIAS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PRY!$C$833:$K$833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PRY!$C$826:$K$826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2352-493B-BD54-992100D08EBF}"/>
            </c:ext>
          </c:extLst>
        </c:ser>
        <c:ser>
          <c:idx val="7"/>
          <c:order val="7"/>
          <c:tx>
            <c:strRef>
              <c:f>PRY!$B$834</c:f>
              <c:strCache>
                <c:ptCount val="1"/>
                <c:pt idx="0">
                  <c:v>VALOR (2)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PRY!$C$834:$K$834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PRY!$C$826:$K$826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2352-493B-BD54-992100D08EBF}"/>
            </c:ext>
          </c:extLst>
        </c:ser>
        <c:ser>
          <c:idx val="8"/>
          <c:order val="8"/>
          <c:tx>
            <c:strRef>
              <c:f>PRY!$B$835</c:f>
              <c:strCache>
                <c:ptCount val="1"/>
                <c:pt idx="0">
                  <c:v>EFECTIVO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PRY!$C$835:$K$835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PRY!$C$826:$K$826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2352-493B-BD54-992100D08EBF}"/>
            </c:ext>
          </c:extLst>
        </c:ser>
        <c:ser>
          <c:idx val="9"/>
          <c:order val="9"/>
          <c:tx>
            <c:strRef>
              <c:f>PRY!$B$836</c:f>
              <c:strCache>
                <c:ptCount val="1"/>
                <c:pt idx="0">
                  <c:v>VALOR (3)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PRY!$C$836:$K$836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PRY!$C$826:$K$826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D-2352-493B-BD54-992100D08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2035088544"/>
        <c:axId val="2035086912"/>
      </c:barChart>
      <c:catAx>
        <c:axId val="203508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5086912"/>
        <c:crosses val="autoZero"/>
        <c:auto val="1"/>
        <c:lblAlgn val="ctr"/>
        <c:lblOffset val="100"/>
        <c:noMultiLvlLbl val="0"/>
      </c:catAx>
      <c:valAx>
        <c:axId val="203508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COP</a:t>
                </a:r>
                <a:r>
                  <a:rPr lang="es-ES" baseline="0"/>
                  <a:t> MILLONES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5088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EBITDA. COP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PRY!$B$602</c:f>
              <c:strCache>
                <c:ptCount val="1"/>
                <c:pt idx="0">
                  <c:v>Patrimonio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PRY!$D$856:$Q$856</c:f>
              <c:numCache>
                <c:formatCode>#,##0,,</c:formatCode>
                <c:ptCount val="14"/>
                <c:pt idx="0">
                  <c:v>-123351725291</c:v>
                </c:pt>
                <c:pt idx="1">
                  <c:v>-123246753564</c:v>
                </c:pt>
                <c:pt idx="2">
                  <c:v>-407484839967</c:v>
                </c:pt>
                <c:pt idx="3">
                  <c:v>-71367150623.350525</c:v>
                </c:pt>
                <c:pt idx="4">
                  <c:v>-61294361133.083534</c:v>
                </c:pt>
                <c:pt idx="5">
                  <c:v>57962140617.129768</c:v>
                </c:pt>
                <c:pt idx="6">
                  <c:v>-23489583228.370682</c:v>
                </c:pt>
                <c:pt idx="7">
                  <c:v>-3594748840.1392765</c:v>
                </c:pt>
                <c:pt idx="8">
                  <c:v>20721014850.037926</c:v>
                </c:pt>
                <c:pt idx="9">
                  <c:v>48491962430.838875</c:v>
                </c:pt>
                <c:pt idx="10">
                  <c:v>67882497750.164734</c:v>
                </c:pt>
                <c:pt idx="11">
                  <c:v>74164595590.057831</c:v>
                </c:pt>
                <c:pt idx="12">
                  <c:v>76588884645.826218</c:v>
                </c:pt>
                <c:pt idx="13">
                  <c:v>73230896078.510986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8-4469-8DCF-093CE3D12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5092352"/>
        <c:axId val="2035088000"/>
      </c:areaChart>
      <c:catAx>
        <c:axId val="203509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5088000"/>
        <c:crosses val="autoZero"/>
        <c:auto val="1"/>
        <c:lblAlgn val="ctr"/>
        <c:lblOffset val="100"/>
        <c:noMultiLvlLbl val="0"/>
      </c:catAx>
      <c:valAx>
        <c:axId val="203508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5092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Flujo de caja libre. COP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PRY!$B$602</c:f>
              <c:strCache>
                <c:ptCount val="1"/>
                <c:pt idx="0">
                  <c:v>Patrimonio</c:v>
                </c:pt>
              </c:strCache>
            </c:strRef>
          </c:tx>
          <c:spPr>
            <a:solidFill>
              <a:schemeClr val="accent6"/>
            </a:solidFill>
            <a:ln w="25400">
              <a:solidFill>
                <a:schemeClr val="accent6"/>
              </a:solidFill>
            </a:ln>
            <a:effectLst/>
          </c:spPr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PRY!$D$873:$Q$873</c:f>
              <c:numCache>
                <c:formatCode>#,##0,,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-11027838046.036842</c:v>
                </c:pt>
                <c:pt idx="4">
                  <c:v>-28356973603.574879</c:v>
                </c:pt>
                <c:pt idx="5">
                  <c:v>68163037271.218132</c:v>
                </c:pt>
                <c:pt idx="6">
                  <c:v>69100235986.71344</c:v>
                </c:pt>
                <c:pt idx="7">
                  <c:v>9263221801.8816319</c:v>
                </c:pt>
                <c:pt idx="8">
                  <c:v>30975240662.563892</c:v>
                </c:pt>
                <c:pt idx="9">
                  <c:v>31338009556.63245</c:v>
                </c:pt>
                <c:pt idx="10">
                  <c:v>86033781310.106567</c:v>
                </c:pt>
                <c:pt idx="11">
                  <c:v>100110266906.71951</c:v>
                </c:pt>
                <c:pt idx="12">
                  <c:v>105558117651.30974</c:v>
                </c:pt>
                <c:pt idx="13">
                  <c:v>77267172197.214493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6-42D6-84D8-CF1BC66DE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5089088"/>
        <c:axId val="2035083104"/>
      </c:areaChart>
      <c:catAx>
        <c:axId val="203508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5083104"/>
        <c:crosses val="autoZero"/>
        <c:auto val="1"/>
        <c:lblAlgn val="ctr"/>
        <c:lblOffset val="100"/>
        <c:noMultiLvlLbl val="0"/>
      </c:catAx>
      <c:valAx>
        <c:axId val="203508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5089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Gasto administrativo </a:t>
            </a:r>
            <a:r>
              <a:rPr lang="es-CO" baseline="0"/>
              <a:t>/ Ingresos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PRY!$B$618</c:f>
              <c:strCache>
                <c:ptCount val="1"/>
                <c:pt idx="0">
                  <c:v>Gasto de administración / Ingresos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PRY!$D$618:$Q$618</c:f>
              <c:numCache>
                <c:formatCode>0.00%</c:formatCode>
                <c:ptCount val="14"/>
                <c:pt idx="0">
                  <c:v>5.5047679294952481E-2</c:v>
                </c:pt>
                <c:pt idx="1">
                  <c:v>5.309234501836043E-2</c:v>
                </c:pt>
                <c:pt idx="2">
                  <c:v>3.8564356581435789E-2</c:v>
                </c:pt>
                <c:pt idx="3">
                  <c:v>4.008218298094527E-2</c:v>
                </c:pt>
                <c:pt idx="4">
                  <c:v>4.4724883807774944E-2</c:v>
                </c:pt>
                <c:pt idx="5">
                  <c:v>4.3985785595770224E-2</c:v>
                </c:pt>
                <c:pt idx="6">
                  <c:v>4.4488721336434778E-2</c:v>
                </c:pt>
                <c:pt idx="7">
                  <c:v>4.4668779759769954E-2</c:v>
                </c:pt>
                <c:pt idx="8">
                  <c:v>4.4880139998421595E-2</c:v>
                </c:pt>
                <c:pt idx="9">
                  <c:v>4.5061016367823795E-2</c:v>
                </c:pt>
                <c:pt idx="10">
                  <c:v>4.5270157805100519E-2</c:v>
                </c:pt>
                <c:pt idx="11">
                  <c:v>4.5480305563674134E-2</c:v>
                </c:pt>
                <c:pt idx="12">
                  <c:v>4.5691295270730632E-2</c:v>
                </c:pt>
                <c:pt idx="13">
                  <c:v>4.7278045183869584E-2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1-42D7-AAB7-9A6284DF7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5041280"/>
        <c:axId val="2075037472"/>
      </c:areaChart>
      <c:catAx>
        <c:axId val="207504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037472"/>
        <c:crosses val="autoZero"/>
        <c:auto val="1"/>
        <c:lblAlgn val="ctr"/>
        <c:lblOffset val="100"/>
        <c:noMultiLvlLbl val="0"/>
      </c:catAx>
      <c:valAx>
        <c:axId val="207503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041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COMPOSICIÓN</a:t>
            </a:r>
            <a:r>
              <a:rPr lang="es-CO" baseline="0"/>
              <a:t> ACCIONARIA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9641201338382319"/>
          <c:y val="0.16184893554972296"/>
          <c:w val="0.50382614386942082"/>
          <c:h val="0.7443747163183548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B9-4053-BC40-4823D6998E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B9-4053-BC40-4823D6998E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0B9-4053-BC40-4823D6998E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B9-4053-BC40-4823D6998E2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B9-4053-BC40-4823D6998E20}"/>
              </c:ext>
            </c:extLst>
          </c:dPt>
          <c:dLbls>
            <c:dLbl>
              <c:idx val="0"/>
              <c:layout>
                <c:manualLayout>
                  <c:x val="-0.36863563810248912"/>
                  <c:y val="0.1485765472150732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B9-4053-BC40-4823D6998E20}"/>
                </c:ext>
              </c:extLst>
            </c:dLbl>
            <c:dLbl>
              <c:idx val="1"/>
              <c:layout>
                <c:manualLayout>
                  <c:x val="8.5943779928272318E-2"/>
                  <c:y val="4.61559280520039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B9-4053-BC40-4823D6998E20}"/>
                </c:ext>
              </c:extLst>
            </c:dLbl>
            <c:dLbl>
              <c:idx val="2"/>
              <c:layout>
                <c:manualLayout>
                  <c:x val="6.0466964530197086E-2"/>
                  <c:y val="7.597395539940286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B9-4053-BC40-4823D6998E20}"/>
                </c:ext>
              </c:extLst>
            </c:dLbl>
            <c:dLbl>
              <c:idx val="3"/>
              <c:layout>
                <c:manualLayout>
                  <c:x val="-1.2284776902887139E-2"/>
                  <c:y val="-4.43502456929725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B9-4053-BC40-4823D6998E20}"/>
                </c:ext>
              </c:extLst>
            </c:dLbl>
            <c:dLbl>
              <c:idx val="4"/>
              <c:layout>
                <c:manualLayout>
                  <c:x val="0.2065826504511363"/>
                  <c:y val="-0.1217453081522704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B9-4053-BC40-4823D6998E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'PRY (2)'!$B$515:$B$519</c:f>
              <c:strCache>
                <c:ptCount val="5"/>
                <c:pt idx="0">
                  <c:v>GOB. ANTIOQUIA</c:v>
                </c:pt>
                <c:pt idx="1">
                  <c:v>ALC. MEDELLIN</c:v>
                </c:pt>
                <c:pt idx="2">
                  <c:v>COMFAMA</c:v>
                </c:pt>
                <c:pt idx="3">
                  <c:v>ACREENCIAS</c:v>
                </c:pt>
                <c:pt idx="4">
                  <c:v>RECURSOS NUEVOS</c:v>
                </c:pt>
              </c:strCache>
            </c:strRef>
          </c:cat>
          <c:val>
            <c:numRef>
              <c:f>'PRY (2)'!$G$515:$G$519</c:f>
              <c:numCache>
                <c:formatCode>0.00%</c:formatCode>
                <c:ptCount val="5"/>
                <c:pt idx="0">
                  <c:v>5.6154868326183868E-2</c:v>
                </c:pt>
                <c:pt idx="1">
                  <c:v>5.6154868326183868E-2</c:v>
                </c:pt>
                <c:pt idx="2">
                  <c:v>4.0909549367233546E-2</c:v>
                </c:pt>
                <c:pt idx="3">
                  <c:v>0.28958695422596903</c:v>
                </c:pt>
                <c:pt idx="4">
                  <c:v>0.55719375975442964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B9-4053-BC40-4823D6998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Margen Neto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PRY!$B$582</c:f>
              <c:strCache>
                <c:ptCount val="1"/>
                <c:pt idx="0">
                  <c:v>Margen neto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PRY!$D$582:$Q$582</c:f>
              <c:numCache>
                <c:formatCode>0%</c:formatCode>
                <c:ptCount val="14"/>
                <c:pt idx="0">
                  <c:v>-9.1841267310630789E-2</c:v>
                </c:pt>
                <c:pt idx="1">
                  <c:v>-8.8427296541287198E-2</c:v>
                </c:pt>
                <c:pt idx="2">
                  <c:v>-0.27346708709570744</c:v>
                </c:pt>
                <c:pt idx="3">
                  <c:v>-2.4100653817307735E-2</c:v>
                </c:pt>
                <c:pt idx="4">
                  <c:v>7.1916874574091752E-2</c:v>
                </c:pt>
                <c:pt idx="5">
                  <c:v>1.2923893405084095E-2</c:v>
                </c:pt>
                <c:pt idx="6">
                  <c:v>-3.7487009871960079E-3</c:v>
                </c:pt>
                <c:pt idx="7">
                  <c:v>7.1647878374359146E-3</c:v>
                </c:pt>
                <c:pt idx="8">
                  <c:v>1.9400709235788471E-2</c:v>
                </c:pt>
                <c:pt idx="9">
                  <c:v>2.8482089844015311E-2</c:v>
                </c:pt>
                <c:pt idx="10">
                  <c:v>3.6655589501623974E-2</c:v>
                </c:pt>
                <c:pt idx="11">
                  <c:v>3.8390609451658807E-2</c:v>
                </c:pt>
                <c:pt idx="12">
                  <c:v>3.8342619481941793E-2</c:v>
                </c:pt>
                <c:pt idx="13">
                  <c:v>3.6653595292530726E-2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9-427E-819C-E4FD6207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7142480"/>
        <c:axId val="2032856432"/>
      </c:barChart>
      <c:catAx>
        <c:axId val="187714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856432"/>
        <c:crosses val="autoZero"/>
        <c:auto val="1"/>
        <c:lblAlgn val="ctr"/>
        <c:lblOffset val="100"/>
        <c:noMultiLvlLbl val="0"/>
      </c:catAx>
      <c:valAx>
        <c:axId val="203285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77142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'PRY (2)'!$B$688</c:f>
              <c:strCache>
                <c:ptCount val="1"/>
                <c:pt idx="0">
                  <c:v>UPC PROMEDIO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'PRY (2)'!$F$686:$Q$686</c:f>
              <c:strCache>
                <c:ptCount val="12"/>
                <c:pt idx="0">
                  <c:v>2017</c:v>
                </c:pt>
                <c:pt idx="1">
                  <c:v>2018 P</c:v>
                </c:pt>
                <c:pt idx="2">
                  <c:v>2019 P</c:v>
                </c:pt>
                <c:pt idx="3">
                  <c:v>2020 P</c:v>
                </c:pt>
                <c:pt idx="4">
                  <c:v>2021 P</c:v>
                </c:pt>
                <c:pt idx="5">
                  <c:v>2022 P</c:v>
                </c:pt>
                <c:pt idx="6">
                  <c:v>2023 P</c:v>
                </c:pt>
                <c:pt idx="7">
                  <c:v>2024 P</c:v>
                </c:pt>
                <c:pt idx="8">
                  <c:v>2025 P</c:v>
                </c:pt>
                <c:pt idx="9">
                  <c:v>2026 P</c:v>
                </c:pt>
                <c:pt idx="10">
                  <c:v>2027 P</c:v>
                </c:pt>
                <c:pt idx="11">
                  <c:v>2028 P</c:v>
                </c:pt>
              </c:strCache>
            </c:strRef>
          </c:cat>
          <c:val>
            <c:numRef>
              <c:f>'PRY (2)'!$F$688:$Q$688</c:f>
              <c:numCache>
                <c:formatCode>#,##0</c:formatCode>
                <c:ptCount val="12"/>
                <c:pt idx="0">
                  <c:v>808453.67999717139</c:v>
                </c:pt>
                <c:pt idx="1">
                  <c:v>820318.19673088763</c:v>
                </c:pt>
                <c:pt idx="2">
                  <c:v>849029.33361646859</c:v>
                </c:pt>
                <c:pt idx="3">
                  <c:v>878745.36029304506</c:v>
                </c:pt>
                <c:pt idx="4">
                  <c:v>909501.44790330145</c:v>
                </c:pt>
                <c:pt idx="5">
                  <c:v>941333.99857991689</c:v>
                </c:pt>
                <c:pt idx="6">
                  <c:v>974280.68853021413</c:v>
                </c:pt>
                <c:pt idx="7">
                  <c:v>1008380.5126287711</c:v>
                </c:pt>
                <c:pt idx="8">
                  <c:v>1043673.8305707783</c:v>
                </c:pt>
                <c:pt idx="9">
                  <c:v>1080202.4146407554</c:v>
                </c:pt>
                <c:pt idx="10">
                  <c:v>1118009.4991531819</c:v>
                </c:pt>
                <c:pt idx="11">
                  <c:v>1157139.8316235433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A3-4037-BF3A-01371A8B956A}"/>
            </c:ext>
          </c:extLst>
        </c:ser>
        <c:ser>
          <c:idx val="2"/>
          <c:order val="2"/>
          <c:tx>
            <c:strRef>
              <c:f>'PRY (2)'!$B$689</c:f>
              <c:strCache>
                <c:ptCount val="1"/>
                <c:pt idx="0">
                  <c:v>INGRESO PROMEDIO POR AFILIADO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'PRY (2)'!$F$686:$Q$686</c:f>
              <c:strCache>
                <c:ptCount val="12"/>
                <c:pt idx="0">
                  <c:v>2017</c:v>
                </c:pt>
                <c:pt idx="1">
                  <c:v>2018 P</c:v>
                </c:pt>
                <c:pt idx="2">
                  <c:v>2019 P</c:v>
                </c:pt>
                <c:pt idx="3">
                  <c:v>2020 P</c:v>
                </c:pt>
                <c:pt idx="4">
                  <c:v>2021 P</c:v>
                </c:pt>
                <c:pt idx="5">
                  <c:v>2022 P</c:v>
                </c:pt>
                <c:pt idx="6">
                  <c:v>2023 P</c:v>
                </c:pt>
                <c:pt idx="7">
                  <c:v>2024 P</c:v>
                </c:pt>
                <c:pt idx="8">
                  <c:v>2025 P</c:v>
                </c:pt>
                <c:pt idx="9">
                  <c:v>2026 P</c:v>
                </c:pt>
                <c:pt idx="10">
                  <c:v>2027 P</c:v>
                </c:pt>
                <c:pt idx="11">
                  <c:v>2028 P</c:v>
                </c:pt>
              </c:strCache>
            </c:strRef>
          </c:cat>
          <c:val>
            <c:numRef>
              <c:f>'PRY (2)'!$F$689:$Q$689</c:f>
              <c:numCache>
                <c:formatCode>#,##0</c:formatCode>
                <c:ptCount val="12"/>
                <c:pt idx="0">
                  <c:v>853313.97162135318</c:v>
                </c:pt>
                <c:pt idx="1">
                  <c:v>865836.83860298526</c:v>
                </c:pt>
                <c:pt idx="2">
                  <c:v>896141.12795408966</c:v>
                </c:pt>
                <c:pt idx="3">
                  <c:v>927506.06743248273</c:v>
                </c:pt>
                <c:pt idx="4">
                  <c:v>959968.77979261952</c:v>
                </c:pt>
                <c:pt idx="5">
                  <c:v>993567.6870853611</c:v>
                </c:pt>
                <c:pt idx="6">
                  <c:v>1028342.5561333488</c:v>
                </c:pt>
                <c:pt idx="7">
                  <c:v>1064334.5455980157</c:v>
                </c:pt>
                <c:pt idx="8">
                  <c:v>1101586.2546939463</c:v>
                </c:pt>
                <c:pt idx="9">
                  <c:v>1140141.7736082342</c:v>
                </c:pt>
                <c:pt idx="10">
                  <c:v>1180046.7356845224</c:v>
                </c:pt>
                <c:pt idx="11">
                  <c:v>1221348.3714334806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A3-4037-BF3A-01371A8B9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5086368"/>
        <c:axId val="2035082560"/>
      </c:barChart>
      <c:lineChart>
        <c:grouping val="standard"/>
        <c:varyColors val="0"/>
        <c:ser>
          <c:idx val="0"/>
          <c:order val="0"/>
          <c:tx>
            <c:strRef>
              <c:f>'PRY (2)'!$B$687</c:f>
              <c:strCache>
                <c:ptCount val="1"/>
                <c:pt idx="0">
                  <c:v>AFILIADOS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'PRY (2)'!$F$686:$Q$686</c:f>
              <c:strCache>
                <c:ptCount val="12"/>
                <c:pt idx="0">
                  <c:v>2017</c:v>
                </c:pt>
                <c:pt idx="1">
                  <c:v>2018 P</c:v>
                </c:pt>
                <c:pt idx="2">
                  <c:v>2019 P</c:v>
                </c:pt>
                <c:pt idx="3">
                  <c:v>2020 P</c:v>
                </c:pt>
                <c:pt idx="4">
                  <c:v>2021 P</c:v>
                </c:pt>
                <c:pt idx="5">
                  <c:v>2022 P</c:v>
                </c:pt>
                <c:pt idx="6">
                  <c:v>2023 P</c:v>
                </c:pt>
                <c:pt idx="7">
                  <c:v>2024 P</c:v>
                </c:pt>
                <c:pt idx="8">
                  <c:v>2025 P</c:v>
                </c:pt>
                <c:pt idx="9">
                  <c:v>2026 P</c:v>
                </c:pt>
                <c:pt idx="10">
                  <c:v>2027 P</c:v>
                </c:pt>
                <c:pt idx="11">
                  <c:v>2028 P</c:v>
                </c:pt>
              </c:strCache>
            </c:strRef>
          </c:cat>
          <c:val>
            <c:numRef>
              <c:f>'PRY (2)'!$F$687:$Q$687</c:f>
              <c:numCache>
                <c:formatCode>#,##0</c:formatCode>
                <c:ptCount val="12"/>
                <c:pt idx="0">
                  <c:v>1692712.85</c:v>
                </c:pt>
                <c:pt idx="1">
                  <c:v>1701176</c:v>
                </c:pt>
                <c:pt idx="2">
                  <c:v>1709682</c:v>
                </c:pt>
                <c:pt idx="3">
                  <c:v>1718230</c:v>
                </c:pt>
                <c:pt idx="4">
                  <c:v>1726821</c:v>
                </c:pt>
                <c:pt idx="5">
                  <c:v>1735455</c:v>
                </c:pt>
                <c:pt idx="6">
                  <c:v>1744132</c:v>
                </c:pt>
                <c:pt idx="7">
                  <c:v>1752853</c:v>
                </c:pt>
                <c:pt idx="8">
                  <c:v>1761617</c:v>
                </c:pt>
                <c:pt idx="9">
                  <c:v>1770425</c:v>
                </c:pt>
                <c:pt idx="10">
                  <c:v>1779277</c:v>
                </c:pt>
                <c:pt idx="11">
                  <c:v>1788173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3-4037-BF3A-01371A8B9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5090720"/>
        <c:axId val="2035084736"/>
      </c:lineChart>
      <c:catAx>
        <c:axId val="203508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5082560"/>
        <c:crosses val="autoZero"/>
        <c:auto val="1"/>
        <c:lblAlgn val="ctr"/>
        <c:lblOffset val="100"/>
        <c:noMultiLvlLbl val="0"/>
      </c:catAx>
      <c:valAx>
        <c:axId val="203508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COP (Aplica para barras)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5086368"/>
        <c:crosses val="autoZero"/>
        <c:crossBetween val="between"/>
      </c:valAx>
      <c:valAx>
        <c:axId val="20350847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 (Aplica para línea)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5090720"/>
        <c:crosses val="max"/>
        <c:crossBetween val="between"/>
      </c:valAx>
      <c:catAx>
        <c:axId val="2035090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35084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Endeudamiento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'PRY (2)'!$B$534</c:f>
              <c:strCache>
                <c:ptCount val="1"/>
                <c:pt idx="0">
                  <c:v>Nivel de endeudamiento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(2)'!$D$534:$Q$534</c:f>
              <c:numCache>
                <c:formatCode>#,##0.00</c:formatCode>
                <c:ptCount val="14"/>
                <c:pt idx="0">
                  <c:v>1.891872652832655</c:v>
                </c:pt>
                <c:pt idx="1">
                  <c:v>2.2381005348022716</c:v>
                </c:pt>
                <c:pt idx="2">
                  <c:v>3.1568909931683922</c:v>
                </c:pt>
                <c:pt idx="3">
                  <c:v>1.0744302183231389</c:v>
                </c:pt>
                <c:pt idx="4">
                  <c:v>1.1038729881526881</c:v>
                </c:pt>
                <c:pt idx="5">
                  <c:v>1.0855117476364775</c:v>
                </c:pt>
                <c:pt idx="6">
                  <c:v>1.0349430699573077</c:v>
                </c:pt>
                <c:pt idx="7">
                  <c:v>0.9624803889282576</c:v>
                </c:pt>
                <c:pt idx="8">
                  <c:v>0.90105503176526547</c:v>
                </c:pt>
                <c:pt idx="9">
                  <c:v>0.84887911502063107</c:v>
                </c:pt>
                <c:pt idx="10">
                  <c:v>0.80407832921226718</c:v>
                </c:pt>
                <c:pt idx="11">
                  <c:v>0.76526891035757494</c:v>
                </c:pt>
                <c:pt idx="12">
                  <c:v>0.73139314269534705</c:v>
                </c:pt>
                <c:pt idx="13">
                  <c:v>0.70159119668089931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8-4DC4-ACEC-7D813A20A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3328544"/>
        <c:axId val="2033329088"/>
      </c:barChart>
      <c:lineChart>
        <c:grouping val="standard"/>
        <c:varyColors val="0"/>
        <c:ser>
          <c:idx val="1"/>
          <c:order val="1"/>
          <c:tx>
            <c:strRef>
              <c:f>'PRY (2)'!$B$535</c:f>
              <c:strCache>
                <c:ptCount val="1"/>
                <c:pt idx="0">
                  <c:v>Objetivo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'PRY (2)'!$D$535:$Q$535</c:f>
              <c:numCache>
                <c:formatCode>#,##0.00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8-4DC4-ACEC-7D813A20A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3328544"/>
        <c:axId val="2033329088"/>
      </c:lineChart>
      <c:catAx>
        <c:axId val="203332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29088"/>
        <c:crosses val="autoZero"/>
        <c:auto val="1"/>
        <c:lblAlgn val="ctr"/>
        <c:lblOffset val="100"/>
        <c:noMultiLvlLbl val="0"/>
      </c:catAx>
      <c:valAx>
        <c:axId val="203332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2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Razón corriente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'PRY (2)'!$B$539</c:f>
              <c:strCache>
                <c:ptCount val="1"/>
                <c:pt idx="0">
                  <c:v>Razón corriente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(2)'!$D$539:$Q$539</c:f>
              <c:numCache>
                <c:formatCode>#,##0.00</c:formatCode>
                <c:ptCount val="14"/>
                <c:pt idx="0">
                  <c:v>0.36800224858284997</c:v>
                </c:pt>
                <c:pt idx="1">
                  <c:v>0.33865962969097163</c:v>
                </c:pt>
                <c:pt idx="2">
                  <c:v>0.27331878553319477</c:v>
                </c:pt>
                <c:pt idx="3">
                  <c:v>0.8829294457979473</c:v>
                </c:pt>
                <c:pt idx="4">
                  <c:v>0.85669890820890116</c:v>
                </c:pt>
                <c:pt idx="5">
                  <c:v>0.87177428151071468</c:v>
                </c:pt>
                <c:pt idx="6">
                  <c:v>0.91707110506906164</c:v>
                </c:pt>
                <c:pt idx="7">
                  <c:v>0.99048920651690653</c:v>
                </c:pt>
                <c:pt idx="8">
                  <c:v>1.0628460826512542</c:v>
                </c:pt>
                <c:pt idx="9">
                  <c:v>1.1323876413466474</c:v>
                </c:pt>
                <c:pt idx="10">
                  <c:v>1.1992341151916706</c:v>
                </c:pt>
                <c:pt idx="11">
                  <c:v>1.2634065695607866</c:v>
                </c:pt>
                <c:pt idx="12">
                  <c:v>1.3249320357602237</c:v>
                </c:pt>
                <c:pt idx="13">
                  <c:v>1.3839199341339852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C-48F3-B9E2-768EE6956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3329632"/>
        <c:axId val="2033330176"/>
      </c:barChart>
      <c:lineChart>
        <c:grouping val="standard"/>
        <c:varyColors val="0"/>
        <c:ser>
          <c:idx val="1"/>
          <c:order val="1"/>
          <c:tx>
            <c:strRef>
              <c:f>'PRY (2)'!$B$540</c:f>
              <c:strCache>
                <c:ptCount val="1"/>
                <c:pt idx="0">
                  <c:v>Objetivo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(2)'!$D$540:$Q$540</c:f>
              <c:numCache>
                <c:formatCode>#,##0.00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CC-48F3-B9E2-768EE6956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3329632"/>
        <c:axId val="2033330176"/>
      </c:lineChart>
      <c:catAx>
        <c:axId val="203332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30176"/>
        <c:crosses val="autoZero"/>
        <c:auto val="1"/>
        <c:lblAlgn val="ctr"/>
        <c:lblOffset val="100"/>
        <c:noMultiLvlLbl val="0"/>
      </c:catAx>
      <c:valAx>
        <c:axId val="203333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2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Liquidez cuentas salud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'PRY (2)'!$B$544</c:f>
              <c:strCache>
                <c:ptCount val="1"/>
                <c:pt idx="0">
                  <c:v>Liquidez salud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(2)'!$D$544:$Q$544</c:f>
              <c:numCache>
                <c:formatCode>#,##0.00</c:formatCode>
                <c:ptCount val="14"/>
                <c:pt idx="0">
                  <c:v>0.34758785898503547</c:v>
                </c:pt>
                <c:pt idx="1">
                  <c:v>0.30611050124539624</c:v>
                </c:pt>
                <c:pt idx="2">
                  <c:v>0.23538748645576335</c:v>
                </c:pt>
                <c:pt idx="3">
                  <c:v>0.29810708790087326</c:v>
                </c:pt>
                <c:pt idx="4">
                  <c:v>0.3073778461187005</c:v>
                </c:pt>
                <c:pt idx="5">
                  <c:v>0.27962199238996088</c:v>
                </c:pt>
                <c:pt idx="6">
                  <c:v>0.2563794734576253</c:v>
                </c:pt>
                <c:pt idx="7">
                  <c:v>0.2324611412268148</c:v>
                </c:pt>
                <c:pt idx="8">
                  <c:v>0.20278030226392169</c:v>
                </c:pt>
                <c:pt idx="9">
                  <c:v>0.20272063646641966</c:v>
                </c:pt>
                <c:pt idx="10">
                  <c:v>0.20266340087874871</c:v>
                </c:pt>
                <c:pt idx="11">
                  <c:v>0.20260849112964938</c:v>
                </c:pt>
                <c:pt idx="12">
                  <c:v>0.20255580849528546</c:v>
                </c:pt>
                <c:pt idx="13">
                  <c:v>0.20250525876631964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7-4F02-B297-5752A16B4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3336704"/>
        <c:axId val="2033333440"/>
      </c:barChart>
      <c:catAx>
        <c:axId val="203333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33440"/>
        <c:crosses val="autoZero"/>
        <c:auto val="1"/>
        <c:lblAlgn val="ctr"/>
        <c:lblOffset val="100"/>
        <c:noMultiLvlLbl val="0"/>
      </c:catAx>
      <c:valAx>
        <c:axId val="203333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36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Margen Neto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'PRY (2)'!$B$549</c:f>
              <c:strCache>
                <c:ptCount val="1"/>
                <c:pt idx="0">
                  <c:v>Margen neto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(2)'!$D$549:$Q$549</c:f>
              <c:numCache>
                <c:formatCode>0%</c:formatCode>
                <c:ptCount val="14"/>
                <c:pt idx="0">
                  <c:v>-9.1841267310630789E-2</c:v>
                </c:pt>
                <c:pt idx="1">
                  <c:v>-8.8427296541287198E-2</c:v>
                </c:pt>
                <c:pt idx="2">
                  <c:v>-0.27346708709570744</c:v>
                </c:pt>
                <c:pt idx="3">
                  <c:v>-4.4512115293441637E-2</c:v>
                </c:pt>
                <c:pt idx="4">
                  <c:v>-1.3085180220240789E-2</c:v>
                </c:pt>
                <c:pt idx="5">
                  <c:v>6.7999483470436084E-3</c:v>
                </c:pt>
                <c:pt idx="6">
                  <c:v>2.1439207982320827E-2</c:v>
                </c:pt>
                <c:pt idx="7">
                  <c:v>3.4824132504915936E-2</c:v>
                </c:pt>
                <c:pt idx="8">
                  <c:v>3.494951023644257E-2</c:v>
                </c:pt>
                <c:pt idx="9">
                  <c:v>3.5046187279075963E-2</c:v>
                </c:pt>
                <c:pt idx="10">
                  <c:v>3.5108557426622548E-2</c:v>
                </c:pt>
                <c:pt idx="11">
                  <c:v>3.5126084663057992E-2</c:v>
                </c:pt>
                <c:pt idx="12">
                  <c:v>3.5102221459993012E-2</c:v>
                </c:pt>
                <c:pt idx="13">
                  <c:v>3.5077183890022567E-2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B-4411-A33F-F60516202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3339424"/>
        <c:axId val="2033339968"/>
      </c:barChart>
      <c:catAx>
        <c:axId val="20333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39968"/>
        <c:crosses val="autoZero"/>
        <c:auto val="1"/>
        <c:lblAlgn val="ctr"/>
        <c:lblOffset val="100"/>
        <c:noMultiLvlLbl val="0"/>
      </c:catAx>
      <c:valAx>
        <c:axId val="203333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3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Rotación del Activo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'PRY (2)'!$B$554</c:f>
              <c:strCache>
                <c:ptCount val="1"/>
                <c:pt idx="0">
                  <c:v>Rotación del activo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(2)'!$D$554:$Q$554</c:f>
              <c:numCache>
                <c:formatCode>#,##0.00</c:formatCode>
                <c:ptCount val="14"/>
                <c:pt idx="0">
                  <c:v>6.2638220896633285</c:v>
                </c:pt>
                <c:pt idx="1">
                  <c:v>5.7858948244932344</c:v>
                </c:pt>
                <c:pt idx="2">
                  <c:v>4.6344309188771531</c:v>
                </c:pt>
                <c:pt idx="3">
                  <c:v>2.0329472440217495</c:v>
                </c:pt>
                <c:pt idx="4">
                  <c:v>2.1513331289652391</c:v>
                </c:pt>
                <c:pt idx="5">
                  <c:v>2.1583906845837606</c:v>
                </c:pt>
                <c:pt idx="6">
                  <c:v>2.0988220844336207</c:v>
                </c:pt>
                <c:pt idx="7">
                  <c:v>1.9937862788026297</c:v>
                </c:pt>
                <c:pt idx="8">
                  <c:v>1.8654445046739034</c:v>
                </c:pt>
                <c:pt idx="9">
                  <c:v>1.7564328645205189</c:v>
                </c:pt>
                <c:pt idx="10">
                  <c:v>1.6628333283567487</c:v>
                </c:pt>
                <c:pt idx="11">
                  <c:v>1.5817529699216279</c:v>
                </c:pt>
                <c:pt idx="12">
                  <c:v>1.5109805816914106</c:v>
                </c:pt>
                <c:pt idx="13">
                  <c:v>1.4487196718284068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8-435A-8346-CED0DFD2E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3333984"/>
        <c:axId val="2033334528"/>
      </c:barChart>
      <c:catAx>
        <c:axId val="203333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34528"/>
        <c:crosses val="autoZero"/>
        <c:auto val="1"/>
        <c:lblAlgn val="ctr"/>
        <c:lblOffset val="100"/>
        <c:noMultiLvlLbl val="0"/>
      </c:catAx>
      <c:valAx>
        <c:axId val="203333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33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Rentabilidad del Activo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'PRY (2)'!$B$559</c:f>
              <c:strCache>
                <c:ptCount val="1"/>
                <c:pt idx="0">
                  <c:v>Rentabilidad del activo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(2)'!$D$559:$Q$559</c:f>
              <c:numCache>
                <c:formatCode>0.00%</c:formatCode>
                <c:ptCount val="14"/>
                <c:pt idx="0">
                  <c:v>-0.57527735892300369</c:v>
                </c:pt>
                <c:pt idx="1">
                  <c:v>-0.51163103740216209</c:v>
                </c:pt>
                <c:pt idx="2">
                  <c:v>-1.2673643237316179</c:v>
                </c:pt>
                <c:pt idx="3">
                  <c:v>-9.0490782111380549E-2</c:v>
                </c:pt>
                <c:pt idx="4">
                  <c:v>-2.8150581706284674E-2</c:v>
                </c:pt>
                <c:pt idx="5">
                  <c:v>1.4676945167909666E-2</c:v>
                </c:pt>
                <c:pt idx="6">
                  <c:v>4.4997083186060521E-2</c:v>
                </c:pt>
                <c:pt idx="7">
                  <c:v>6.9431877559506056E-2</c:v>
                </c:pt>
                <c:pt idx="8">
                  <c:v>6.5196371811616138E-2</c:v>
                </c:pt>
                <c:pt idx="9">
                  <c:v>6.1556275113109966E-2</c:v>
                </c:pt>
                <c:pt idx="10">
                  <c:v>5.8379679399514821E-2</c:v>
                </c:pt>
                <c:pt idx="11">
                  <c:v>5.5560788737510532E-2</c:v>
                </c:pt>
                <c:pt idx="12">
                  <c:v>5.3038775000280952E-2</c:v>
                </c:pt>
                <c:pt idx="13">
                  <c:v>5.0817006333818172E-2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E-4E27-9048-56987EE1B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3335072"/>
        <c:axId val="2033327456"/>
      </c:barChart>
      <c:catAx>
        <c:axId val="203333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27456"/>
        <c:crosses val="autoZero"/>
        <c:auto val="1"/>
        <c:lblAlgn val="ctr"/>
        <c:lblOffset val="100"/>
        <c:noMultiLvlLbl val="0"/>
      </c:catAx>
      <c:valAx>
        <c:axId val="203332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35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Costo médico</a:t>
            </a:r>
            <a:r>
              <a:rPr lang="es-CO" baseline="0"/>
              <a:t> / Ingresos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'PRY (2)'!$B$564</c:f>
              <c:strCache>
                <c:ptCount val="1"/>
                <c:pt idx="0">
                  <c:v>Costo médico / Ingresos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(2)'!$D$564:$Q$564</c:f>
              <c:numCache>
                <c:formatCode>0.00%</c:formatCode>
                <c:ptCount val="14"/>
                <c:pt idx="0">
                  <c:v>1.0573197429737109</c:v>
                </c:pt>
                <c:pt idx="1">
                  <c:v>1.0483184022343222</c:v>
                </c:pt>
                <c:pt idx="2">
                  <c:v>1.2458603063660443</c:v>
                </c:pt>
                <c:pt idx="3">
                  <c:v>1.0204283615122978</c:v>
                </c:pt>
                <c:pt idx="4">
                  <c:v>0.98997843307571443</c:v>
                </c:pt>
                <c:pt idx="5">
                  <c:v>0.96991629513569566</c:v>
                </c:pt>
                <c:pt idx="6">
                  <c:v>0.95041794964521542</c:v>
                </c:pt>
                <c:pt idx="7">
                  <c:v>0.92989067763719147</c:v>
                </c:pt>
                <c:pt idx="8">
                  <c:v>0.92989067763719158</c:v>
                </c:pt>
                <c:pt idx="9">
                  <c:v>0.92989067763719147</c:v>
                </c:pt>
                <c:pt idx="10">
                  <c:v>0.92989067763719147</c:v>
                </c:pt>
                <c:pt idx="11">
                  <c:v>0.92989067763719147</c:v>
                </c:pt>
                <c:pt idx="12">
                  <c:v>0.92989067763719147</c:v>
                </c:pt>
                <c:pt idx="13">
                  <c:v>0.92989067763719147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C-4AE1-8135-3AE6F8BB6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3341056"/>
        <c:axId val="2033326368"/>
      </c:areaChart>
      <c:catAx>
        <c:axId val="203334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26368"/>
        <c:crosses val="autoZero"/>
        <c:auto val="1"/>
        <c:lblAlgn val="ctr"/>
        <c:lblOffset val="100"/>
        <c:noMultiLvlLbl val="0"/>
      </c:catAx>
      <c:valAx>
        <c:axId val="203332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41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COMPOSICIÓN</a:t>
            </a:r>
            <a:r>
              <a:rPr lang="es-CO" baseline="0"/>
              <a:t> INDIRECTA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9641201338382319"/>
          <c:y val="0.16184893554972296"/>
          <c:w val="0.50382614386942082"/>
          <c:h val="0.7443747163183548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9D-4EB3-8198-A77A0092C8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9D-4EB3-8198-A77A0092C8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'PRY (2)'!$B$522:$B$523</c:f>
              <c:strCache>
                <c:ptCount val="2"/>
                <c:pt idx="0">
                  <c:v>PUBLICOS</c:v>
                </c:pt>
                <c:pt idx="1">
                  <c:v>PRIVADOS</c:v>
                </c:pt>
              </c:strCache>
            </c:strRef>
          </c:cat>
          <c:val>
            <c:numRef>
              <c:f>'PRY (2)'!$G$522:$G$523</c:f>
              <c:numCache>
                <c:formatCode>0.00%</c:formatCode>
                <c:ptCount val="2"/>
                <c:pt idx="0">
                  <c:v>0.40189669087833679</c:v>
                </c:pt>
                <c:pt idx="1">
                  <c:v>0.59810330912166321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9D-4EB3-8198-A77A0092C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Patrimonio. COP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'PRY (2)'!$B$569</c:f>
              <c:strCache>
                <c:ptCount val="1"/>
                <c:pt idx="0">
                  <c:v>Patrimonio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(2)'!$D$569:$Q$569</c:f>
              <c:numCache>
                <c:formatCode>#,##0,,</c:formatCode>
                <c:ptCount val="14"/>
                <c:pt idx="0">
                  <c:v>-169498417215</c:v>
                </c:pt>
                <c:pt idx="1">
                  <c:v>-288871152544</c:v>
                </c:pt>
                <c:pt idx="2">
                  <c:v>-672239351599</c:v>
                </c:pt>
                <c:pt idx="3">
                  <c:v>-53927276935.370468</c:v>
                </c:pt>
                <c:pt idx="4">
                  <c:v>-73975295570.998962</c:v>
                </c:pt>
                <c:pt idx="5">
                  <c:v>-63138430387.038666</c:v>
                </c:pt>
                <c:pt idx="6">
                  <c:v>-27598778626.846596</c:v>
                </c:pt>
                <c:pt idx="7">
                  <c:v>32448194820.167953</c:v>
                </c:pt>
                <c:pt idx="8">
                  <c:v>95132418708.348419</c:v>
                </c:pt>
                <c:pt idx="9">
                  <c:v>160515356756.29974</c:v>
                </c:pt>
                <c:pt idx="10">
                  <c:v>228646077938.53473</c:v>
                </c:pt>
                <c:pt idx="11">
                  <c:v>299549326790.7774</c:v>
                </c:pt>
                <c:pt idx="12">
                  <c:v>373251004586.92957</c:v>
                </c:pt>
                <c:pt idx="13">
                  <c:v>449858949176.12561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D-4411-A6DC-E2D912A39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3325280"/>
        <c:axId val="2033342144"/>
      </c:areaChart>
      <c:catAx>
        <c:axId val="203332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42144"/>
        <c:crosses val="autoZero"/>
        <c:auto val="1"/>
        <c:lblAlgn val="ctr"/>
        <c:lblOffset val="100"/>
        <c:noMultiLvlLbl val="0"/>
      </c:catAx>
      <c:valAx>
        <c:axId val="203334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25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Patrimonio. COP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PRY!$B$602</c:f>
              <c:strCache>
                <c:ptCount val="1"/>
                <c:pt idx="0">
                  <c:v>Patrimonio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PRY!$D$602:$Q$602</c:f>
              <c:numCache>
                <c:formatCode>#,##0,,</c:formatCode>
                <c:ptCount val="14"/>
                <c:pt idx="0">
                  <c:v>-169498417215</c:v>
                </c:pt>
                <c:pt idx="1">
                  <c:v>-288871152544</c:v>
                </c:pt>
                <c:pt idx="2">
                  <c:v>-672239351599</c:v>
                </c:pt>
                <c:pt idx="3">
                  <c:v>-710762259812.94641</c:v>
                </c:pt>
                <c:pt idx="4">
                  <c:v>-586864322124.01331</c:v>
                </c:pt>
                <c:pt idx="5">
                  <c:v>-562942692185.06616</c:v>
                </c:pt>
                <c:pt idx="6">
                  <c:v>-570122414746.11304</c:v>
                </c:pt>
                <c:pt idx="7">
                  <c:v>-525887839469.08435</c:v>
                </c:pt>
                <c:pt idx="8">
                  <c:v>-362028647862.74786</c:v>
                </c:pt>
                <c:pt idx="9">
                  <c:v>-271454680653.82935</c:v>
                </c:pt>
                <c:pt idx="10">
                  <c:v>-190757630264.22479</c:v>
                </c:pt>
                <c:pt idx="11">
                  <c:v>-103270182826.03372</c:v>
                </c:pt>
                <c:pt idx="12">
                  <c:v>-12820758928.315292</c:v>
                </c:pt>
                <c:pt idx="13">
                  <c:v>74076618087.062729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E-4DB8-8053-083A523F0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2858608"/>
        <c:axId val="2032843920"/>
      </c:areaChart>
      <c:catAx>
        <c:axId val="203285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843920"/>
        <c:crosses val="autoZero"/>
        <c:auto val="1"/>
        <c:lblAlgn val="ctr"/>
        <c:lblOffset val="100"/>
        <c:noMultiLvlLbl val="0"/>
      </c:catAx>
      <c:valAx>
        <c:axId val="203284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858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ESCALONES</a:t>
            </a:r>
            <a:r>
              <a:rPr lang="es-ES" baseline="0"/>
              <a:t> DE VALOR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'PRY (2)'!$B$729</c:f>
              <c:strCache>
                <c:ptCount val="1"/>
                <c:pt idx="0">
                  <c:v>BASE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'PRY (2)'!$C$728:$K$728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(2)'!$C$729:$K$729</c:f>
              <c:numCache>
                <c:formatCode>#,##0,,</c:formatCode>
                <c:ptCount val="9"/>
                <c:pt idx="1">
                  <c:v>233201900283.26968</c:v>
                </c:pt>
                <c:pt idx="3">
                  <c:v>123742733118.92102</c:v>
                </c:pt>
                <c:pt idx="5">
                  <c:v>123742733118.92102</c:v>
                </c:pt>
                <c:pt idx="7">
                  <c:v>357618520706.92102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D-4C16-B8F6-3FEC89579AF3}"/>
            </c:ext>
          </c:extLst>
        </c:ser>
        <c:ser>
          <c:idx val="1"/>
          <c:order val="1"/>
          <c:tx>
            <c:strRef>
              <c:f>'PRY (2)'!$B$730</c:f>
              <c:strCache>
                <c:ptCount val="1"/>
                <c:pt idx="0">
                  <c:v>EXPLICITO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AFD-4C16-B8F6-3FEC89579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(2)'!$C$728:$K$728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(2)'!$C$730:$K$730</c:f>
              <c:numCache>
                <c:formatCode>#,##0,,</c:formatCode>
                <c:ptCount val="9"/>
                <c:pt idx="0">
                  <c:v>233201900283.26968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FD-4C16-B8F6-3FEC89579AF3}"/>
            </c:ext>
          </c:extLst>
        </c:ser>
        <c:ser>
          <c:idx val="2"/>
          <c:order val="2"/>
          <c:tx>
            <c:strRef>
              <c:f>'PRY (2)'!$B$731</c:f>
              <c:strCache>
                <c:ptCount val="1"/>
                <c:pt idx="0">
                  <c:v>PERPETUO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(2)'!$C$728:$K$728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(2)'!$C$731:$K$731</c:f>
              <c:numCache>
                <c:formatCode>#,##0,,</c:formatCode>
                <c:ptCount val="9"/>
                <c:pt idx="1">
                  <c:v>129325306041.94296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FD-4C16-B8F6-3FEC89579AF3}"/>
            </c:ext>
          </c:extLst>
        </c:ser>
        <c:ser>
          <c:idx val="3"/>
          <c:order val="3"/>
          <c:tx>
            <c:strRef>
              <c:f>'PRY (2)'!$B$732</c:f>
              <c:strCache>
                <c:ptCount val="1"/>
                <c:pt idx="0">
                  <c:v>VALOR SIN CONT.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(2)'!$C$728:$K$728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(2)'!$C$732:$K$732</c:f>
              <c:numCache>
                <c:formatCode>#,##0,,</c:formatCode>
                <c:ptCount val="9"/>
                <c:pt idx="2">
                  <c:v>362527206325.21265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FD-4C16-B8F6-3FEC89579AF3}"/>
            </c:ext>
          </c:extLst>
        </c:ser>
        <c:ser>
          <c:idx val="4"/>
          <c:order val="4"/>
          <c:tx>
            <c:strRef>
              <c:f>'PRY (2)'!$B$733</c:f>
              <c:strCache>
                <c:ptCount val="1"/>
                <c:pt idx="0">
                  <c:v>CONTINGENCIAS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(2)'!$C$728:$K$728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(2)'!$C$733:$K$733</c:f>
              <c:numCache>
                <c:formatCode>#,##0,,</c:formatCode>
                <c:ptCount val="9"/>
                <c:pt idx="3">
                  <c:v>238784473206.29163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FD-4C16-B8F6-3FEC89579AF3}"/>
            </c:ext>
          </c:extLst>
        </c:ser>
        <c:ser>
          <c:idx val="5"/>
          <c:order val="5"/>
          <c:tx>
            <c:strRef>
              <c:f>'PRY (2)'!$B$734</c:f>
              <c:strCache>
                <c:ptCount val="1"/>
                <c:pt idx="0">
                  <c:v>VALOR (1)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(2)'!$C$728:$K$728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(2)'!$C$734:$K$734</c:f>
              <c:numCache>
                <c:formatCode>#,##0,,</c:formatCode>
                <c:ptCount val="9"/>
                <c:pt idx="4">
                  <c:v>123742733118.92102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AFD-4C16-B8F6-3FEC89579AF3}"/>
            </c:ext>
          </c:extLst>
        </c:ser>
        <c:ser>
          <c:idx val="6"/>
          <c:order val="6"/>
          <c:tx>
            <c:strRef>
              <c:f>'PRY (2)'!$B$735</c:f>
              <c:strCache>
                <c:ptCount val="1"/>
                <c:pt idx="0">
                  <c:v>ACREENCIAS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(2)'!$C$728:$K$728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(2)'!$C$735:$K$735</c:f>
              <c:numCache>
                <c:formatCode>#,##0,,</c:formatCode>
                <c:ptCount val="9"/>
                <c:pt idx="5">
                  <c:v>233875787588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FD-4C16-B8F6-3FEC89579AF3}"/>
            </c:ext>
          </c:extLst>
        </c:ser>
        <c:ser>
          <c:idx val="7"/>
          <c:order val="7"/>
          <c:tx>
            <c:strRef>
              <c:f>'PRY (2)'!$B$736</c:f>
              <c:strCache>
                <c:ptCount val="1"/>
                <c:pt idx="0">
                  <c:v>VALOR (2)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(2)'!$C$728:$K$728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(2)'!$C$736:$K$736</c:f>
              <c:numCache>
                <c:formatCode>#,##0,,</c:formatCode>
                <c:ptCount val="9"/>
                <c:pt idx="6">
                  <c:v>357618520706.92102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AFD-4C16-B8F6-3FEC89579AF3}"/>
            </c:ext>
          </c:extLst>
        </c:ser>
        <c:ser>
          <c:idx val="8"/>
          <c:order val="8"/>
          <c:tx>
            <c:strRef>
              <c:f>'PRY (2)'!$B$737</c:f>
              <c:strCache>
                <c:ptCount val="1"/>
                <c:pt idx="0">
                  <c:v>EFECTIVO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AFD-4C16-B8F6-3FEC89579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(2)'!$C$728:$K$728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(2)'!$C$737:$K$737</c:f>
              <c:numCache>
                <c:formatCode>#,##0,,</c:formatCode>
                <c:ptCount val="9"/>
                <c:pt idx="7">
                  <c:v>450000000000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AFD-4C16-B8F6-3FEC89579AF3}"/>
            </c:ext>
          </c:extLst>
        </c:ser>
        <c:ser>
          <c:idx val="9"/>
          <c:order val="9"/>
          <c:tx>
            <c:strRef>
              <c:f>'PRY (2)'!$B$738</c:f>
              <c:strCache>
                <c:ptCount val="1"/>
                <c:pt idx="0">
                  <c:v>VALOR (3)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(2)'!$C$728:$K$728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(2)'!$C$738:$K$738</c:f>
              <c:numCache>
                <c:formatCode>#,##0,,</c:formatCode>
                <c:ptCount val="9"/>
                <c:pt idx="8">
                  <c:v>807618520706.92102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AFD-4C16-B8F6-3FEC89579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2033354656"/>
        <c:axId val="2033346496"/>
      </c:barChart>
      <c:catAx>
        <c:axId val="203335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46496"/>
        <c:crosses val="autoZero"/>
        <c:auto val="1"/>
        <c:lblAlgn val="ctr"/>
        <c:lblOffset val="100"/>
        <c:noMultiLvlLbl val="0"/>
      </c:catAx>
      <c:valAx>
        <c:axId val="203334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COP</a:t>
                </a:r>
                <a:r>
                  <a:rPr lang="es-ES" baseline="0"/>
                  <a:t> MILLONES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54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'PRY (2)'!$B$707</c:f>
              <c:strCache>
                <c:ptCount val="1"/>
                <c:pt idx="0">
                  <c:v>INGRESO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'PRY (2)'!$F$686:$Q$686</c:f>
              <c:strCache>
                <c:ptCount val="12"/>
                <c:pt idx="0">
                  <c:v>2017</c:v>
                </c:pt>
                <c:pt idx="1">
                  <c:v>2018 P</c:v>
                </c:pt>
                <c:pt idx="2">
                  <c:v>2019 P</c:v>
                </c:pt>
                <c:pt idx="3">
                  <c:v>2020 P</c:v>
                </c:pt>
                <c:pt idx="4">
                  <c:v>2021 P</c:v>
                </c:pt>
                <c:pt idx="5">
                  <c:v>2022 P</c:v>
                </c:pt>
                <c:pt idx="6">
                  <c:v>2023 P</c:v>
                </c:pt>
                <c:pt idx="7">
                  <c:v>2024 P</c:v>
                </c:pt>
                <c:pt idx="8">
                  <c:v>2025 P</c:v>
                </c:pt>
                <c:pt idx="9">
                  <c:v>2026 P</c:v>
                </c:pt>
                <c:pt idx="10">
                  <c:v>2027 P</c:v>
                </c:pt>
                <c:pt idx="11">
                  <c:v>2028 P</c:v>
                </c:pt>
              </c:strCache>
            </c:strRef>
          </c:cat>
          <c:val>
            <c:numRef>
              <c:f>'PRY (2)'!$F$707:$Q$707</c:f>
              <c:numCache>
                <c:formatCode>#,##0,,</c:formatCode>
                <c:ptCount val="12"/>
                <c:pt idx="1">
                  <c:v>1472940849747.272</c:v>
                </c:pt>
                <c:pt idx="2">
                  <c:v>1532116355922.804</c:v>
                </c:pt>
                <c:pt idx="3">
                  <c:v>1593668750244.5151</c:v>
                </c:pt>
                <c:pt idx="4">
                  <c:v>1657694248290.271</c:v>
                </c:pt>
                <c:pt idx="5">
                  <c:v>1724292010390.7253</c:v>
                </c:pt>
                <c:pt idx="6">
                  <c:v>1793565159113.97</c:v>
                </c:pt>
                <c:pt idx="7">
                  <c:v>1865622001255.1182</c:v>
                </c:pt>
                <c:pt idx="8">
                  <c:v>1940573073235.1858</c:v>
                </c:pt>
                <c:pt idx="9">
                  <c:v>2018535499540.3579</c:v>
                </c:pt>
                <c:pt idx="10">
                  <c:v>2099630015728.5498</c:v>
                </c:pt>
                <c:pt idx="11">
                  <c:v>2183982181391.3215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8-4386-8291-B62301B3264F}"/>
            </c:ext>
          </c:extLst>
        </c:ser>
        <c:ser>
          <c:idx val="1"/>
          <c:order val="1"/>
          <c:tx>
            <c:strRef>
              <c:f>'PRY (2)'!$B$708</c:f>
              <c:strCache>
                <c:ptCount val="1"/>
                <c:pt idx="0">
                  <c:v>EGRESO MÉDICO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'PRY (2)'!$F$686:$Q$686</c:f>
              <c:strCache>
                <c:ptCount val="12"/>
                <c:pt idx="0">
                  <c:v>2017</c:v>
                </c:pt>
                <c:pt idx="1">
                  <c:v>2018 P</c:v>
                </c:pt>
                <c:pt idx="2">
                  <c:v>2019 P</c:v>
                </c:pt>
                <c:pt idx="3">
                  <c:v>2020 P</c:v>
                </c:pt>
                <c:pt idx="4">
                  <c:v>2021 P</c:v>
                </c:pt>
                <c:pt idx="5">
                  <c:v>2022 P</c:v>
                </c:pt>
                <c:pt idx="6">
                  <c:v>2023 P</c:v>
                </c:pt>
                <c:pt idx="7">
                  <c:v>2024 P</c:v>
                </c:pt>
                <c:pt idx="8">
                  <c:v>2025 P</c:v>
                </c:pt>
                <c:pt idx="9">
                  <c:v>2026 P</c:v>
                </c:pt>
                <c:pt idx="10">
                  <c:v>2027 P</c:v>
                </c:pt>
                <c:pt idx="11">
                  <c:v>2028 P</c:v>
                </c:pt>
              </c:strCache>
            </c:strRef>
          </c:cat>
          <c:val>
            <c:numRef>
              <c:f>'PRY (2)'!$F$708:$Q$708</c:f>
              <c:numCache>
                <c:formatCode>#,##0,,</c:formatCode>
                <c:ptCount val="12"/>
                <c:pt idx="1">
                  <c:v>1503030617912.1404</c:v>
                </c:pt>
                <c:pt idx="2">
                  <c:v>1516762149326.1311</c:v>
                </c:pt>
                <c:pt idx="3">
                  <c:v>1545725289910.6943</c:v>
                </c:pt>
                <c:pt idx="4">
                  <c:v>1575502368598.7061</c:v>
                </c:pt>
                <c:pt idx="5">
                  <c:v>1603403065986.6267</c:v>
                </c:pt>
                <c:pt idx="6">
                  <c:v>1667819521194.9468</c:v>
                </c:pt>
                <c:pt idx="7">
                  <c:v>1734824506961.9751</c:v>
                </c:pt>
                <c:pt idx="8">
                  <c:v>1804520810075.1541</c:v>
                </c:pt>
                <c:pt idx="9">
                  <c:v>1877017343502.3103</c:v>
                </c:pt>
                <c:pt idx="10">
                  <c:v>1952426378113.2083</c:v>
                </c:pt>
                <c:pt idx="11">
                  <c:v>2030864670601.5276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C8-4386-8291-B62301B32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3343232"/>
        <c:axId val="2033347040"/>
      </c:barChart>
      <c:catAx>
        <c:axId val="203334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47040"/>
        <c:crosses val="autoZero"/>
        <c:auto val="1"/>
        <c:lblAlgn val="ctr"/>
        <c:lblOffset val="100"/>
        <c:noMultiLvlLbl val="0"/>
      </c:catAx>
      <c:valAx>
        <c:axId val="203334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COP Millones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4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Caja Vs. Reservas médicas. COP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'PRY (2)'!$B$574</c:f>
              <c:strCache>
                <c:ptCount val="1"/>
                <c:pt idx="0">
                  <c:v>Reservas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(2)'!$D$574:$Q$574</c:f>
              <c:numCache>
                <c:formatCode>#,##0,,</c:formatCode>
                <c:ptCount val="14"/>
                <c:pt idx="0">
                  <c:v>262220908632.70834</c:v>
                </c:pt>
                <c:pt idx="1">
                  <c:v>294829387307.29163</c:v>
                </c:pt>
                <c:pt idx="2">
                  <c:v>374904160063.95837</c:v>
                </c:pt>
                <c:pt idx="3">
                  <c:v>313131378731.69592</c:v>
                </c:pt>
                <c:pt idx="4">
                  <c:v>315992114442.94397</c:v>
                </c:pt>
                <c:pt idx="5">
                  <c:v>322026102064.72803</c:v>
                </c:pt>
                <c:pt idx="6">
                  <c:v>328229660124.73041</c:v>
                </c:pt>
                <c:pt idx="7">
                  <c:v>334042305413.88062</c:v>
                </c:pt>
                <c:pt idx="8">
                  <c:v>347462400248.94727</c:v>
                </c:pt>
                <c:pt idx="9">
                  <c:v>361421772283.74481</c:v>
                </c:pt>
                <c:pt idx="10">
                  <c:v>375941835432.32373</c:v>
                </c:pt>
                <c:pt idx="11">
                  <c:v>391045279896.31464</c:v>
                </c:pt>
                <c:pt idx="12">
                  <c:v>406755495440.25171</c:v>
                </c:pt>
                <c:pt idx="13">
                  <c:v>423096806375.31824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4-48EA-920F-EB48342C82C6}"/>
            </c:ext>
          </c:extLst>
        </c:ser>
        <c:ser>
          <c:idx val="2"/>
          <c:order val="2"/>
          <c:tx>
            <c:strRef>
              <c:f>'PRY (2)'!$B$575</c:f>
              <c:strCache>
                <c:ptCount val="1"/>
                <c:pt idx="0">
                  <c:v>Caja excedente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(2)'!$D$575:$Q$575</c:f>
              <c:numCache>
                <c:formatCode>#,##0,,</c:formatCode>
                <c:ptCount val="14"/>
                <c:pt idx="0">
                  <c:v>-251391183845.70834</c:v>
                </c:pt>
                <c:pt idx="1">
                  <c:v>-274217779972.29163</c:v>
                </c:pt>
                <c:pt idx="2">
                  <c:v>-335316939116.95837</c:v>
                </c:pt>
                <c:pt idx="3">
                  <c:v>138988057234.77106</c:v>
                </c:pt>
                <c:pt idx="4">
                  <c:v>113374155014.74939</c:v>
                </c:pt>
                <c:pt idx="5">
                  <c:v>149395754512.13196</c:v>
                </c:pt>
                <c:pt idx="6">
                  <c:v>207731828743.08759</c:v>
                </c:pt>
                <c:pt idx="7">
                  <c:v>291571176577.89136</c:v>
                </c:pt>
                <c:pt idx="8">
                  <c:v>390882037554.87732</c:v>
                </c:pt>
                <c:pt idx="9">
                  <c:v>469388052080.74225</c:v>
                </c:pt>
                <c:pt idx="10">
                  <c:v>551168168908.1084</c:v>
                </c:pt>
                <c:pt idx="11">
                  <c:v>636268406240.55127</c:v>
                </c:pt>
                <c:pt idx="12">
                  <c:v>724736598699.85059</c:v>
                </c:pt>
                <c:pt idx="13">
                  <c:v>816703393504.47424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4-48EA-920F-EB48342C8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3344320"/>
        <c:axId val="2033344864"/>
      </c:barChart>
      <c:lineChart>
        <c:grouping val="standard"/>
        <c:varyColors val="0"/>
        <c:ser>
          <c:idx val="0"/>
          <c:order val="0"/>
          <c:tx>
            <c:strRef>
              <c:f>'PRY (2)'!$B$573</c:f>
              <c:strCache>
                <c:ptCount val="1"/>
                <c:pt idx="0">
                  <c:v>Caja 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(2)'!$D$573:$Q$573</c:f>
              <c:numCache>
                <c:formatCode>#,##0,,</c:formatCode>
                <c:ptCount val="14"/>
                <c:pt idx="0">
                  <c:v>10829724787</c:v>
                </c:pt>
                <c:pt idx="1">
                  <c:v>20611607335</c:v>
                </c:pt>
                <c:pt idx="2">
                  <c:v>39587220947</c:v>
                </c:pt>
                <c:pt idx="3">
                  <c:v>452119435966.46698</c:v>
                </c:pt>
                <c:pt idx="4">
                  <c:v>429366269457.69336</c:v>
                </c:pt>
                <c:pt idx="5">
                  <c:v>471421856576.85999</c:v>
                </c:pt>
                <c:pt idx="6">
                  <c:v>535961488867.81799</c:v>
                </c:pt>
                <c:pt idx="7">
                  <c:v>625613481991.77197</c:v>
                </c:pt>
                <c:pt idx="8">
                  <c:v>738344437803.82458</c:v>
                </c:pt>
                <c:pt idx="9">
                  <c:v>830809824364.48706</c:v>
                </c:pt>
                <c:pt idx="10">
                  <c:v>927110004340.43213</c:v>
                </c:pt>
                <c:pt idx="11">
                  <c:v>1027313686136.866</c:v>
                </c:pt>
                <c:pt idx="12">
                  <c:v>1131492094140.1023</c:v>
                </c:pt>
                <c:pt idx="13">
                  <c:v>1239800199879.7925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A4-48EA-920F-EB48342C8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3344320"/>
        <c:axId val="2033344864"/>
      </c:lineChart>
      <c:catAx>
        <c:axId val="203334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44864"/>
        <c:crosses val="autoZero"/>
        <c:auto val="1"/>
        <c:lblAlgn val="ctr"/>
        <c:lblOffset val="100"/>
        <c:noMultiLvlLbl val="0"/>
      </c:catAx>
      <c:valAx>
        <c:axId val="203334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44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Gastos y Otros No Operacionales sobre ventas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'PRY (2)'!$B$580</c:f>
              <c:strCache>
                <c:ptCount val="1"/>
                <c:pt idx="0">
                  <c:v>Gasto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(2)'!$D$580:$Q$580</c:f>
              <c:numCache>
                <c:formatCode>0%</c:formatCode>
                <c:ptCount val="14"/>
                <c:pt idx="0">
                  <c:v>-5.5047679294952481E-2</c:v>
                </c:pt>
                <c:pt idx="1">
                  <c:v>-5.309234501836043E-2</c:v>
                </c:pt>
                <c:pt idx="2">
                  <c:v>-3.8564356581435789E-2</c:v>
                </c:pt>
                <c:pt idx="3">
                  <c:v>-3.6287626851923951E-2</c:v>
                </c:pt>
                <c:pt idx="4">
                  <c:v>-3.6651561263718498E-2</c:v>
                </c:pt>
                <c:pt idx="5">
                  <c:v>-3.6543564520567243E-2</c:v>
                </c:pt>
                <c:pt idx="6">
                  <c:v>-3.6668637043179901E-2</c:v>
                </c:pt>
                <c:pt idx="7">
                  <c:v>-3.6791919986511532E-2</c:v>
                </c:pt>
                <c:pt idx="8">
                  <c:v>-3.6798362615631935E-2</c:v>
                </c:pt>
                <c:pt idx="9">
                  <c:v>-3.6824254603991219E-2</c:v>
                </c:pt>
                <c:pt idx="10">
                  <c:v>-3.6885153223035753E-2</c:v>
                </c:pt>
                <c:pt idx="11">
                  <c:v>-3.6946868868353543E-2</c:v>
                </c:pt>
                <c:pt idx="12">
                  <c:v>-3.7009407260220187E-2</c:v>
                </c:pt>
                <c:pt idx="13">
                  <c:v>-3.7072774098299177E-2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2-4C63-B5FE-F9AC761CF850}"/>
            </c:ext>
          </c:extLst>
        </c:ser>
        <c:ser>
          <c:idx val="2"/>
          <c:order val="1"/>
          <c:tx>
            <c:strRef>
              <c:f>'PRY (2)'!$B$581</c:f>
              <c:strCache>
                <c:ptCount val="1"/>
                <c:pt idx="0">
                  <c:v>O.Ingreso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(2)'!$D$581:$Q$581</c:f>
              <c:numCache>
                <c:formatCode>0%</c:formatCode>
                <c:ptCount val="14"/>
                <c:pt idx="0">
                  <c:v>3.0436204037598617E-2</c:v>
                </c:pt>
                <c:pt idx="1">
                  <c:v>3.4900062060137481E-2</c:v>
                </c:pt>
                <c:pt idx="2">
                  <c:v>1.4705682523895099E-2</c:v>
                </c:pt>
                <c:pt idx="3">
                  <c:v>1.5500000000000002E-2</c:v>
                </c:pt>
                <c:pt idx="4">
                  <c:v>1.6404339104395552E-2</c:v>
                </c:pt>
                <c:pt idx="5">
                  <c:v>1.9373186001438582E-2</c:v>
                </c:pt>
                <c:pt idx="6">
                  <c:v>2.2141551143651163E-2</c:v>
                </c:pt>
                <c:pt idx="7">
                  <c:v>2.1975306225164377E-2</c:v>
                </c:pt>
                <c:pt idx="8">
                  <c:v>2.1844612449952498E-2</c:v>
                </c:pt>
                <c:pt idx="9">
                  <c:v>2.1712276328821462E-2</c:v>
                </c:pt>
                <c:pt idx="10">
                  <c:v>2.1645778540159148E-2</c:v>
                </c:pt>
                <c:pt idx="11">
                  <c:v>2.1645778968042411E-2</c:v>
                </c:pt>
                <c:pt idx="12">
                  <c:v>2.1645779512755581E-2</c:v>
                </c:pt>
                <c:pt idx="13">
                  <c:v>2.16457802323737E-2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2-4C63-B5FE-F9AC761CF850}"/>
            </c:ext>
          </c:extLst>
        </c:ser>
        <c:ser>
          <c:idx val="3"/>
          <c:order val="2"/>
          <c:tx>
            <c:strRef>
              <c:f>'PRY (2)'!$B$582</c:f>
              <c:strCache>
                <c:ptCount val="1"/>
                <c:pt idx="0">
                  <c:v>O.Egreso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(2)'!$D$582:$Q$582</c:f>
              <c:numCache>
                <c:formatCode>0%</c:formatCode>
                <c:ptCount val="14"/>
                <c:pt idx="0">
                  <c:v>-9.9100490795659985E-3</c:v>
                </c:pt>
                <c:pt idx="1">
                  <c:v>-2.1916611348742041E-2</c:v>
                </c:pt>
                <c:pt idx="2">
                  <c:v>-3.748106672122423E-3</c:v>
                </c:pt>
                <c:pt idx="3">
                  <c:v>-3.2961269292198824E-3</c:v>
                </c:pt>
                <c:pt idx="4">
                  <c:v>-2.859524985203372E-3</c:v>
                </c:pt>
                <c:pt idx="5">
                  <c:v>-2.4518673497240136E-3</c:v>
                </c:pt>
                <c:pt idx="6">
                  <c:v>-2.0715675593776231E-3</c:v>
                </c:pt>
                <c:pt idx="7">
                  <c:v>-1.7171201323599782E-3</c:v>
                </c:pt>
                <c:pt idx="8">
                  <c:v>-1.3870949102943162E-3</c:v>
                </c:pt>
                <c:pt idx="9">
                  <c:v>-1.0801328890603754E-3</c:v>
                </c:pt>
                <c:pt idx="10">
                  <c:v>-8.5678240820496402E-4</c:v>
                </c:pt>
                <c:pt idx="11">
                  <c:v>-7.6810221163890735E-4</c:v>
                </c:pt>
                <c:pt idx="12">
                  <c:v>-7.4227698458540587E-4</c:v>
                </c:pt>
                <c:pt idx="13">
                  <c:v>-7.1743020454064334E-4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02-4C63-B5FE-F9AC761CF850}"/>
            </c:ext>
          </c:extLst>
        </c:ser>
        <c:ser>
          <c:idx val="4"/>
          <c:order val="3"/>
          <c:tx>
            <c:strRef>
              <c:f>'PRY (2)'!$B$583</c:f>
              <c:strCache>
                <c:ptCount val="1"/>
                <c:pt idx="0">
                  <c:v>Impuesto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(2)'!$D$583:$Q$583</c:f>
              <c:numCache>
                <c:formatCode>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-3.6615106484080965E-3</c:v>
                </c:pt>
                <c:pt idx="6">
                  <c:v>-1.1544188913557367E-2</c:v>
                </c:pt>
                <c:pt idx="7">
                  <c:v>-1.8751455964185502E-2</c:v>
                </c:pt>
                <c:pt idx="8">
                  <c:v>-1.8818967050392155E-2</c:v>
                </c:pt>
                <c:pt idx="9">
                  <c:v>-1.8871023919502437E-2</c:v>
                </c:pt>
                <c:pt idx="10">
                  <c:v>-1.8904607845104445E-2</c:v>
                </c:pt>
                <c:pt idx="11">
                  <c:v>-1.8914045587800455E-2</c:v>
                </c:pt>
                <c:pt idx="12">
                  <c:v>-1.8901196170765466E-2</c:v>
                </c:pt>
                <c:pt idx="13">
                  <c:v>-1.8887714402319841E-2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02-4C63-B5FE-F9AC761CF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3347584"/>
        <c:axId val="2033351392"/>
      </c:barChart>
      <c:catAx>
        <c:axId val="203334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51392"/>
        <c:crosses val="autoZero"/>
        <c:auto val="1"/>
        <c:lblAlgn val="ctr"/>
        <c:lblOffset val="100"/>
        <c:noMultiLvlLbl val="0"/>
      </c:catAx>
      <c:valAx>
        <c:axId val="203335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4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Márgenes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'PRY (2)'!$B$585</c:f>
              <c:strCache>
                <c:ptCount val="1"/>
                <c:pt idx="0">
                  <c:v>M. Bruto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(2)'!$D$585:$Q$585</c:f>
              <c:numCache>
                <c:formatCode>0%</c:formatCode>
                <c:ptCount val="14"/>
                <c:pt idx="0">
                  <c:v>-5.7319742973710924E-2</c:v>
                </c:pt>
                <c:pt idx="1">
                  <c:v>-4.8318402234322204E-2</c:v>
                </c:pt>
                <c:pt idx="2">
                  <c:v>-0.24586030636604433</c:v>
                </c:pt>
                <c:pt idx="3">
                  <c:v>-2.0428361512297814E-2</c:v>
                </c:pt>
                <c:pt idx="4">
                  <c:v>1.0021566924285533E-2</c:v>
                </c:pt>
                <c:pt idx="5">
                  <c:v>3.0083704864304381E-2</c:v>
                </c:pt>
                <c:pt idx="6">
                  <c:v>4.9582050354784551E-2</c:v>
                </c:pt>
                <c:pt idx="7">
                  <c:v>7.0109322362808577E-2</c:v>
                </c:pt>
                <c:pt idx="8">
                  <c:v>7.0109322362808479E-2</c:v>
                </c:pt>
                <c:pt idx="9">
                  <c:v>7.0109322362808535E-2</c:v>
                </c:pt>
                <c:pt idx="10">
                  <c:v>7.0109322362808563E-2</c:v>
                </c:pt>
                <c:pt idx="11">
                  <c:v>7.0109322362808479E-2</c:v>
                </c:pt>
                <c:pt idx="12">
                  <c:v>7.0109322362808493E-2</c:v>
                </c:pt>
                <c:pt idx="13">
                  <c:v>7.0109322362808535E-2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C-4000-8000-98715AC0FE0C}"/>
            </c:ext>
          </c:extLst>
        </c:ser>
        <c:ser>
          <c:idx val="1"/>
          <c:order val="1"/>
          <c:tx>
            <c:strRef>
              <c:f>'PRY (2)'!$B$586</c:f>
              <c:strCache>
                <c:ptCount val="1"/>
                <c:pt idx="0">
                  <c:v>M. Operacional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(2)'!$D$586:$Q$586</c:f>
              <c:numCache>
                <c:formatCode>0%</c:formatCode>
                <c:ptCount val="14"/>
                <c:pt idx="0">
                  <c:v>-0.11236742226866341</c:v>
                </c:pt>
                <c:pt idx="1">
                  <c:v>-0.10141074725268263</c:v>
                </c:pt>
                <c:pt idx="2">
                  <c:v>-0.28442466294748014</c:v>
                </c:pt>
                <c:pt idx="3">
                  <c:v>-5.6715988364221759E-2</c:v>
                </c:pt>
                <c:pt idx="4">
                  <c:v>-2.6629994339432968E-2</c:v>
                </c:pt>
                <c:pt idx="5">
                  <c:v>-6.4598596562628662E-3</c:v>
                </c:pt>
                <c:pt idx="6">
                  <c:v>1.2913413311604654E-2</c:v>
                </c:pt>
                <c:pt idx="7">
                  <c:v>3.3317402376297045E-2</c:v>
                </c:pt>
                <c:pt idx="8">
                  <c:v>3.3310959747176537E-2</c:v>
                </c:pt>
                <c:pt idx="9">
                  <c:v>3.3285067758817316E-2</c:v>
                </c:pt>
                <c:pt idx="10">
                  <c:v>3.3224169139772802E-2</c:v>
                </c:pt>
                <c:pt idx="11">
                  <c:v>3.3162453494454944E-2</c:v>
                </c:pt>
                <c:pt idx="12">
                  <c:v>3.30999151025883E-2</c:v>
                </c:pt>
                <c:pt idx="13">
                  <c:v>3.3036548264509358E-2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C-4000-8000-98715AC0FE0C}"/>
            </c:ext>
          </c:extLst>
        </c:ser>
        <c:ser>
          <c:idx val="2"/>
          <c:order val="2"/>
          <c:tx>
            <c:strRef>
              <c:f>'PRY (2)'!$B$587</c:f>
              <c:strCache>
                <c:ptCount val="1"/>
                <c:pt idx="0">
                  <c:v>EBT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(2)'!$D$587:$Q$587</c:f>
              <c:numCache>
                <c:formatCode>0%</c:formatCode>
                <c:ptCount val="14"/>
                <c:pt idx="0">
                  <c:v>-9.1841267310630789E-2</c:v>
                </c:pt>
                <c:pt idx="1">
                  <c:v>-8.8427296541287198E-2</c:v>
                </c:pt>
                <c:pt idx="2">
                  <c:v>-0.27346708709570744</c:v>
                </c:pt>
                <c:pt idx="3">
                  <c:v>-4.4512115293441637E-2</c:v>
                </c:pt>
                <c:pt idx="4">
                  <c:v>-1.3085180220240789E-2</c:v>
                </c:pt>
                <c:pt idx="5">
                  <c:v>1.0461458995451704E-2</c:v>
                </c:pt>
                <c:pt idx="6">
                  <c:v>3.2983396895878196E-2</c:v>
                </c:pt>
                <c:pt idx="7">
                  <c:v>5.3575588469101439E-2</c:v>
                </c:pt>
                <c:pt idx="8">
                  <c:v>5.3768477286834725E-2</c:v>
                </c:pt>
                <c:pt idx="9">
                  <c:v>5.3917211198578403E-2</c:v>
                </c:pt>
                <c:pt idx="10">
                  <c:v>5.401316527172699E-2</c:v>
                </c:pt>
                <c:pt idx="11">
                  <c:v>5.4040130250858444E-2</c:v>
                </c:pt>
                <c:pt idx="12">
                  <c:v>5.4003417630758471E-2</c:v>
                </c:pt>
                <c:pt idx="13">
                  <c:v>5.3964898292342404E-2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1C-4000-8000-98715AC0FE0C}"/>
            </c:ext>
          </c:extLst>
        </c:ser>
        <c:ser>
          <c:idx val="3"/>
          <c:order val="3"/>
          <c:tx>
            <c:strRef>
              <c:f>'PRY (2)'!$B$588</c:f>
              <c:strCache>
                <c:ptCount val="1"/>
                <c:pt idx="0">
                  <c:v>M. Neto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(2)'!$D$588:$Q$588</c:f>
              <c:numCache>
                <c:formatCode>0%</c:formatCode>
                <c:ptCount val="14"/>
                <c:pt idx="0">
                  <c:v>-9.1841267310630789E-2</c:v>
                </c:pt>
                <c:pt idx="1">
                  <c:v>-8.8427296541287198E-2</c:v>
                </c:pt>
                <c:pt idx="2">
                  <c:v>-0.27346708709570744</c:v>
                </c:pt>
                <c:pt idx="3">
                  <c:v>-4.4512115293441637E-2</c:v>
                </c:pt>
                <c:pt idx="4">
                  <c:v>-1.3085180220240789E-2</c:v>
                </c:pt>
                <c:pt idx="5">
                  <c:v>6.7999483470436084E-3</c:v>
                </c:pt>
                <c:pt idx="6">
                  <c:v>2.1439207982320827E-2</c:v>
                </c:pt>
                <c:pt idx="7">
                  <c:v>3.4824132504915936E-2</c:v>
                </c:pt>
                <c:pt idx="8">
                  <c:v>3.494951023644257E-2</c:v>
                </c:pt>
                <c:pt idx="9">
                  <c:v>3.5046187279075963E-2</c:v>
                </c:pt>
                <c:pt idx="10">
                  <c:v>3.5108557426622548E-2</c:v>
                </c:pt>
                <c:pt idx="11">
                  <c:v>3.5126084663057992E-2</c:v>
                </c:pt>
                <c:pt idx="12">
                  <c:v>3.5102221459993012E-2</c:v>
                </c:pt>
                <c:pt idx="13">
                  <c:v>3.5077183890022567E-2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1C-4000-8000-98715AC0F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3349216"/>
        <c:axId val="2033348128"/>
      </c:lineChart>
      <c:catAx>
        <c:axId val="203334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48128"/>
        <c:crosses val="autoZero"/>
        <c:auto val="1"/>
        <c:lblAlgn val="ctr"/>
        <c:lblOffset val="100"/>
        <c:noMultiLvlLbl val="0"/>
      </c:catAx>
      <c:valAx>
        <c:axId val="2033348128"/>
        <c:scaling>
          <c:orientation val="minMax"/>
          <c:min val="-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4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Endeudamiento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'PRY (2)'!$B$534</c:f>
              <c:strCache>
                <c:ptCount val="1"/>
                <c:pt idx="0">
                  <c:v>Nivel de endeudamiento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(2)'!$D$534:$Q$534</c:f>
              <c:numCache>
                <c:formatCode>#,##0.00</c:formatCode>
                <c:ptCount val="14"/>
                <c:pt idx="0">
                  <c:v>1.891872652832655</c:v>
                </c:pt>
                <c:pt idx="1">
                  <c:v>2.2381005348022716</c:v>
                </c:pt>
                <c:pt idx="2">
                  <c:v>3.1568909931683922</c:v>
                </c:pt>
                <c:pt idx="3">
                  <c:v>1.0744302183231389</c:v>
                </c:pt>
                <c:pt idx="4">
                  <c:v>1.1038729881526881</c:v>
                </c:pt>
                <c:pt idx="5">
                  <c:v>1.0855117476364775</c:v>
                </c:pt>
                <c:pt idx="6">
                  <c:v>1.0349430699573077</c:v>
                </c:pt>
                <c:pt idx="7">
                  <c:v>0.9624803889282576</c:v>
                </c:pt>
                <c:pt idx="8">
                  <c:v>0.90105503176526547</c:v>
                </c:pt>
                <c:pt idx="9">
                  <c:v>0.84887911502063107</c:v>
                </c:pt>
                <c:pt idx="10">
                  <c:v>0.80407832921226718</c:v>
                </c:pt>
                <c:pt idx="11">
                  <c:v>0.76526891035757494</c:v>
                </c:pt>
                <c:pt idx="12">
                  <c:v>0.73139314269534705</c:v>
                </c:pt>
                <c:pt idx="13">
                  <c:v>0.70159119668089931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4-4D13-BDBB-F7A0A5CB2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3352480"/>
        <c:axId val="2033353024"/>
      </c:barChart>
      <c:lineChart>
        <c:grouping val="standard"/>
        <c:varyColors val="0"/>
        <c:ser>
          <c:idx val="1"/>
          <c:order val="1"/>
          <c:tx>
            <c:strRef>
              <c:f>'PRY (2)'!$B$535</c:f>
              <c:strCache>
                <c:ptCount val="1"/>
                <c:pt idx="0">
                  <c:v>Objetivo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'PRY (2)'!$D$535:$Q$535</c:f>
              <c:numCache>
                <c:formatCode>#,##0.00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4-4D13-BDBB-F7A0A5CB2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3352480"/>
        <c:axId val="2033353024"/>
      </c:lineChart>
      <c:catAx>
        <c:axId val="203335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53024"/>
        <c:crosses val="autoZero"/>
        <c:auto val="1"/>
        <c:lblAlgn val="ctr"/>
        <c:lblOffset val="100"/>
        <c:noMultiLvlLbl val="0"/>
      </c:catAx>
      <c:valAx>
        <c:axId val="203335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5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Margen Neto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'PRY (2)'!$B$549</c:f>
              <c:strCache>
                <c:ptCount val="1"/>
                <c:pt idx="0">
                  <c:v>Margen neto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(2)'!$D$549:$Q$549</c:f>
              <c:numCache>
                <c:formatCode>0%</c:formatCode>
                <c:ptCount val="14"/>
                <c:pt idx="0">
                  <c:v>-9.1841267310630789E-2</c:v>
                </c:pt>
                <c:pt idx="1">
                  <c:v>-8.8427296541287198E-2</c:v>
                </c:pt>
                <c:pt idx="2">
                  <c:v>-0.27346708709570744</c:v>
                </c:pt>
                <c:pt idx="3">
                  <c:v>-4.4512115293441637E-2</c:v>
                </c:pt>
                <c:pt idx="4">
                  <c:v>-1.3085180220240789E-2</c:v>
                </c:pt>
                <c:pt idx="5">
                  <c:v>6.7999483470436084E-3</c:v>
                </c:pt>
                <c:pt idx="6">
                  <c:v>2.1439207982320827E-2</c:v>
                </c:pt>
                <c:pt idx="7">
                  <c:v>3.4824132504915936E-2</c:v>
                </c:pt>
                <c:pt idx="8">
                  <c:v>3.494951023644257E-2</c:v>
                </c:pt>
                <c:pt idx="9">
                  <c:v>3.5046187279075963E-2</c:v>
                </c:pt>
                <c:pt idx="10">
                  <c:v>3.5108557426622548E-2</c:v>
                </c:pt>
                <c:pt idx="11">
                  <c:v>3.5126084663057992E-2</c:v>
                </c:pt>
                <c:pt idx="12">
                  <c:v>3.5102221459993012E-2</c:v>
                </c:pt>
                <c:pt idx="13">
                  <c:v>3.5077183890022567E-2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A-4438-AB74-C49443E0E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3355744"/>
        <c:axId val="2075206880"/>
      </c:barChart>
      <c:catAx>
        <c:axId val="203335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206880"/>
        <c:crosses val="autoZero"/>
        <c:auto val="1"/>
        <c:lblAlgn val="ctr"/>
        <c:lblOffset val="100"/>
        <c:noMultiLvlLbl val="0"/>
      </c:catAx>
      <c:valAx>
        <c:axId val="207520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3355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Patrimonio. COP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'PRY (2)'!$B$569</c:f>
              <c:strCache>
                <c:ptCount val="1"/>
                <c:pt idx="0">
                  <c:v>Patrimonio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(2)'!$D$569:$Q$569</c:f>
              <c:numCache>
                <c:formatCode>#,##0,,</c:formatCode>
                <c:ptCount val="14"/>
                <c:pt idx="0">
                  <c:v>-169498417215</c:v>
                </c:pt>
                <c:pt idx="1">
                  <c:v>-288871152544</c:v>
                </c:pt>
                <c:pt idx="2">
                  <c:v>-672239351599</c:v>
                </c:pt>
                <c:pt idx="3">
                  <c:v>-53927276935.370468</c:v>
                </c:pt>
                <c:pt idx="4">
                  <c:v>-73975295570.998962</c:v>
                </c:pt>
                <c:pt idx="5">
                  <c:v>-63138430387.038666</c:v>
                </c:pt>
                <c:pt idx="6">
                  <c:v>-27598778626.846596</c:v>
                </c:pt>
                <c:pt idx="7">
                  <c:v>32448194820.167953</c:v>
                </c:pt>
                <c:pt idx="8">
                  <c:v>95132418708.348419</c:v>
                </c:pt>
                <c:pt idx="9">
                  <c:v>160515356756.29974</c:v>
                </c:pt>
                <c:pt idx="10">
                  <c:v>228646077938.53473</c:v>
                </c:pt>
                <c:pt idx="11">
                  <c:v>299549326790.7774</c:v>
                </c:pt>
                <c:pt idx="12">
                  <c:v>373251004586.92957</c:v>
                </c:pt>
                <c:pt idx="13">
                  <c:v>449858949176.12561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C-4D69-98AD-E3D31E7B6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5210144"/>
        <c:axId val="2075212864"/>
      </c:areaChart>
      <c:catAx>
        <c:axId val="207521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212864"/>
        <c:crosses val="autoZero"/>
        <c:auto val="1"/>
        <c:lblAlgn val="ctr"/>
        <c:lblOffset val="100"/>
        <c:noMultiLvlLbl val="0"/>
      </c:catAx>
      <c:valAx>
        <c:axId val="207521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210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Caja Vs. Reservas médicas. COP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'PRY (2)'!$B$574</c:f>
              <c:strCache>
                <c:ptCount val="1"/>
                <c:pt idx="0">
                  <c:v>Reservas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(2)'!$D$574:$Q$574</c:f>
              <c:numCache>
                <c:formatCode>#,##0,,</c:formatCode>
                <c:ptCount val="14"/>
                <c:pt idx="0">
                  <c:v>262220908632.70834</c:v>
                </c:pt>
                <c:pt idx="1">
                  <c:v>294829387307.29163</c:v>
                </c:pt>
                <c:pt idx="2">
                  <c:v>374904160063.95837</c:v>
                </c:pt>
                <c:pt idx="3">
                  <c:v>313131378731.69592</c:v>
                </c:pt>
                <c:pt idx="4">
                  <c:v>315992114442.94397</c:v>
                </c:pt>
                <c:pt idx="5">
                  <c:v>322026102064.72803</c:v>
                </c:pt>
                <c:pt idx="6">
                  <c:v>328229660124.73041</c:v>
                </c:pt>
                <c:pt idx="7">
                  <c:v>334042305413.88062</c:v>
                </c:pt>
                <c:pt idx="8">
                  <c:v>347462400248.94727</c:v>
                </c:pt>
                <c:pt idx="9">
                  <c:v>361421772283.74481</c:v>
                </c:pt>
                <c:pt idx="10">
                  <c:v>375941835432.32373</c:v>
                </c:pt>
                <c:pt idx="11">
                  <c:v>391045279896.31464</c:v>
                </c:pt>
                <c:pt idx="12">
                  <c:v>406755495440.25171</c:v>
                </c:pt>
                <c:pt idx="13">
                  <c:v>423096806375.31824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E6-4F5D-B022-3187397BCA83}"/>
            </c:ext>
          </c:extLst>
        </c:ser>
        <c:ser>
          <c:idx val="2"/>
          <c:order val="2"/>
          <c:tx>
            <c:strRef>
              <c:f>'PRY (2)'!$B$575</c:f>
              <c:strCache>
                <c:ptCount val="1"/>
                <c:pt idx="0">
                  <c:v>Caja excedente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(2)'!$D$575:$Q$575</c:f>
              <c:numCache>
                <c:formatCode>#,##0,,</c:formatCode>
                <c:ptCount val="14"/>
                <c:pt idx="0">
                  <c:v>-251391183845.70834</c:v>
                </c:pt>
                <c:pt idx="1">
                  <c:v>-274217779972.29163</c:v>
                </c:pt>
                <c:pt idx="2">
                  <c:v>-335316939116.95837</c:v>
                </c:pt>
                <c:pt idx="3">
                  <c:v>138988057234.77106</c:v>
                </c:pt>
                <c:pt idx="4">
                  <c:v>113374155014.74939</c:v>
                </c:pt>
                <c:pt idx="5">
                  <c:v>149395754512.13196</c:v>
                </c:pt>
                <c:pt idx="6">
                  <c:v>207731828743.08759</c:v>
                </c:pt>
                <c:pt idx="7">
                  <c:v>291571176577.89136</c:v>
                </c:pt>
                <c:pt idx="8">
                  <c:v>390882037554.87732</c:v>
                </c:pt>
                <c:pt idx="9">
                  <c:v>469388052080.74225</c:v>
                </c:pt>
                <c:pt idx="10">
                  <c:v>551168168908.1084</c:v>
                </c:pt>
                <c:pt idx="11">
                  <c:v>636268406240.55127</c:v>
                </c:pt>
                <c:pt idx="12">
                  <c:v>724736598699.85059</c:v>
                </c:pt>
                <c:pt idx="13">
                  <c:v>816703393504.47424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E6-4F5D-B022-3187397BC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75202528"/>
        <c:axId val="2075210688"/>
      </c:barChart>
      <c:lineChart>
        <c:grouping val="standard"/>
        <c:varyColors val="0"/>
        <c:ser>
          <c:idx val="0"/>
          <c:order val="0"/>
          <c:tx>
            <c:strRef>
              <c:f>'PRY (2)'!$B$573</c:f>
              <c:strCache>
                <c:ptCount val="1"/>
                <c:pt idx="0">
                  <c:v>Caja 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'PRY (2)'!$D$6:$Q$6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'PRY (2)'!$D$573:$Q$573</c:f>
              <c:numCache>
                <c:formatCode>#,##0,,</c:formatCode>
                <c:ptCount val="14"/>
                <c:pt idx="0">
                  <c:v>10829724787</c:v>
                </c:pt>
                <c:pt idx="1">
                  <c:v>20611607335</c:v>
                </c:pt>
                <c:pt idx="2">
                  <c:v>39587220947</c:v>
                </c:pt>
                <c:pt idx="3">
                  <c:v>452119435966.46698</c:v>
                </c:pt>
                <c:pt idx="4">
                  <c:v>429366269457.69336</c:v>
                </c:pt>
                <c:pt idx="5">
                  <c:v>471421856576.85999</c:v>
                </c:pt>
                <c:pt idx="6">
                  <c:v>535961488867.81799</c:v>
                </c:pt>
                <c:pt idx="7">
                  <c:v>625613481991.77197</c:v>
                </c:pt>
                <c:pt idx="8">
                  <c:v>738344437803.82458</c:v>
                </c:pt>
                <c:pt idx="9">
                  <c:v>830809824364.48706</c:v>
                </c:pt>
                <c:pt idx="10">
                  <c:v>927110004340.43213</c:v>
                </c:pt>
                <c:pt idx="11">
                  <c:v>1027313686136.866</c:v>
                </c:pt>
                <c:pt idx="12">
                  <c:v>1131492094140.1023</c:v>
                </c:pt>
                <c:pt idx="13">
                  <c:v>1239800199879.7925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E6-4F5D-B022-3187397BC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5202528"/>
        <c:axId val="2075210688"/>
      </c:lineChart>
      <c:catAx>
        <c:axId val="207520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210688"/>
        <c:crosses val="autoZero"/>
        <c:auto val="1"/>
        <c:lblAlgn val="ctr"/>
        <c:lblOffset val="100"/>
        <c:noMultiLvlLbl val="0"/>
      </c:catAx>
      <c:valAx>
        <c:axId val="207521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202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ESCALONES</a:t>
            </a:r>
            <a:r>
              <a:rPr lang="es-ES" baseline="0"/>
              <a:t> DE VALOR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'PRY (2)'!$B$790</c:f>
              <c:strCache>
                <c:ptCount val="1"/>
                <c:pt idx="0">
                  <c:v>BASE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'PRY (2)'!$C$789:$K$789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(2)'!$C$790:$K$790</c:f>
              <c:numCache>
                <c:formatCode>#,##0,,</c:formatCode>
                <c:ptCount val="9"/>
                <c:pt idx="1">
                  <c:v>233201900283.26968</c:v>
                </c:pt>
                <c:pt idx="3">
                  <c:v>362527206325.21265</c:v>
                </c:pt>
                <c:pt idx="5">
                  <c:v>123742733118.92102</c:v>
                </c:pt>
                <c:pt idx="7">
                  <c:v>357618520706.92102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D-4747-BB15-DB7BAB8462EF}"/>
            </c:ext>
          </c:extLst>
        </c:ser>
        <c:ser>
          <c:idx val="1"/>
          <c:order val="1"/>
          <c:tx>
            <c:strRef>
              <c:f>'PRY (2)'!$B$791</c:f>
              <c:strCache>
                <c:ptCount val="1"/>
                <c:pt idx="0">
                  <c:v>EXPLICITO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(2)'!$C$789:$K$789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(2)'!$C$791:$K$791</c:f>
              <c:numCache>
                <c:formatCode>#,##0,,</c:formatCode>
                <c:ptCount val="9"/>
                <c:pt idx="0">
                  <c:v>233201900283.26968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AD-4747-BB15-DB7BAB8462EF}"/>
            </c:ext>
          </c:extLst>
        </c:ser>
        <c:ser>
          <c:idx val="2"/>
          <c:order val="2"/>
          <c:tx>
            <c:strRef>
              <c:f>'PRY (2)'!$B$792</c:f>
              <c:strCache>
                <c:ptCount val="1"/>
                <c:pt idx="0">
                  <c:v>PERPETUO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(2)'!$C$789:$K$789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(2)'!$C$792:$K$792</c:f>
              <c:numCache>
                <c:formatCode>#,##0,,</c:formatCode>
                <c:ptCount val="9"/>
                <c:pt idx="1">
                  <c:v>129325306041.94296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AD-4747-BB15-DB7BAB8462EF}"/>
            </c:ext>
          </c:extLst>
        </c:ser>
        <c:ser>
          <c:idx val="3"/>
          <c:order val="3"/>
          <c:tx>
            <c:strRef>
              <c:f>'PRY (2)'!$B$793</c:f>
              <c:strCache>
                <c:ptCount val="1"/>
                <c:pt idx="0">
                  <c:v>VALOR SIN CONT.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(2)'!$C$789:$K$789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(2)'!$C$793:$K$793</c:f>
              <c:numCache>
                <c:formatCode>#,##0,,</c:formatCode>
                <c:ptCount val="9"/>
                <c:pt idx="2">
                  <c:v>362527206325.21265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AD-4747-BB15-DB7BAB8462EF}"/>
            </c:ext>
          </c:extLst>
        </c:ser>
        <c:ser>
          <c:idx val="4"/>
          <c:order val="4"/>
          <c:tx>
            <c:strRef>
              <c:f>'PRY (2)'!$B$794</c:f>
              <c:strCache>
                <c:ptCount val="1"/>
                <c:pt idx="0">
                  <c:v>CONTINGENCIAS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(2)'!$C$789:$K$789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(2)'!$C$794:$K$794</c:f>
              <c:numCache>
                <c:formatCode>#,##0,,</c:formatCode>
                <c:ptCount val="9"/>
                <c:pt idx="3">
                  <c:v>-238784473206.29163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AD-4747-BB15-DB7BAB8462EF}"/>
            </c:ext>
          </c:extLst>
        </c:ser>
        <c:ser>
          <c:idx val="5"/>
          <c:order val="5"/>
          <c:tx>
            <c:strRef>
              <c:f>'PRY (2)'!$B$795</c:f>
              <c:strCache>
                <c:ptCount val="1"/>
                <c:pt idx="0">
                  <c:v>VALOR (1)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(2)'!$C$789:$K$789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(2)'!$C$795:$K$795</c:f>
              <c:numCache>
                <c:formatCode>#,##0,,</c:formatCode>
                <c:ptCount val="9"/>
                <c:pt idx="4">
                  <c:v>123742733118.92102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AD-4747-BB15-DB7BAB8462EF}"/>
            </c:ext>
          </c:extLst>
        </c:ser>
        <c:ser>
          <c:idx val="6"/>
          <c:order val="6"/>
          <c:tx>
            <c:strRef>
              <c:f>'PRY (2)'!$B$796</c:f>
              <c:strCache>
                <c:ptCount val="1"/>
                <c:pt idx="0">
                  <c:v>ACREENCIAS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'PRY (2)'!$C$789:$K$789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(2)'!$C$796:$K$796</c:f>
              <c:numCache>
                <c:formatCode>#,##0,,</c:formatCode>
                <c:ptCount val="9"/>
                <c:pt idx="5">
                  <c:v>233875787588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AD-4747-BB15-DB7BAB8462EF}"/>
            </c:ext>
          </c:extLst>
        </c:ser>
        <c:ser>
          <c:idx val="7"/>
          <c:order val="7"/>
          <c:tx>
            <c:strRef>
              <c:f>'PRY (2)'!$B$797</c:f>
              <c:strCache>
                <c:ptCount val="1"/>
                <c:pt idx="0">
                  <c:v>VALOR (2)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(2)'!$C$789:$K$789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(2)'!$C$797:$K$797</c:f>
              <c:numCache>
                <c:formatCode>#,##0,,</c:formatCode>
                <c:ptCount val="9"/>
                <c:pt idx="6">
                  <c:v>357618520706.92102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AD-4747-BB15-DB7BAB8462EF}"/>
            </c:ext>
          </c:extLst>
        </c:ser>
        <c:ser>
          <c:idx val="8"/>
          <c:order val="8"/>
          <c:tx>
            <c:strRef>
              <c:f>'PRY (2)'!$B$798</c:f>
              <c:strCache>
                <c:ptCount val="1"/>
                <c:pt idx="0">
                  <c:v>EFECTIVO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'PRY (2)'!$C$789:$K$789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(2)'!$C$798:$K$798</c:f>
              <c:numCache>
                <c:formatCode>#,##0,,</c:formatCode>
                <c:ptCount val="9"/>
                <c:pt idx="7">
                  <c:v>-3.6759642065525844E-3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AD-4747-BB15-DB7BAB8462EF}"/>
            </c:ext>
          </c:extLst>
        </c:ser>
        <c:ser>
          <c:idx val="9"/>
          <c:order val="9"/>
          <c:tx>
            <c:strRef>
              <c:f>'PRY (2)'!$B$799</c:f>
              <c:strCache>
                <c:ptCount val="1"/>
                <c:pt idx="0">
                  <c:v>VALOR (3)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'PRY (2)'!$C$789:$K$789</c:f>
              <c:strCache>
                <c:ptCount val="9"/>
                <c:pt idx="0">
                  <c:v>EXPLICITO</c:v>
                </c:pt>
                <c:pt idx="1">
                  <c:v>PERPETUO</c:v>
                </c:pt>
                <c:pt idx="2">
                  <c:v>VALOR SIN CONT.</c:v>
                </c:pt>
                <c:pt idx="3">
                  <c:v>CONT.</c:v>
                </c:pt>
                <c:pt idx="4">
                  <c:v>VALOR CON CONT.</c:v>
                </c:pt>
                <c:pt idx="5">
                  <c:v>ACREENCIAS</c:v>
                </c:pt>
                <c:pt idx="6">
                  <c:v>VALOR CON ACR.</c:v>
                </c:pt>
                <c:pt idx="7">
                  <c:v>EFECTIVO</c:v>
                </c:pt>
                <c:pt idx="8">
                  <c:v>VALOR FINAL</c:v>
                </c:pt>
              </c:strCache>
            </c:strRef>
          </c:cat>
          <c:val>
            <c:numRef>
              <c:f>'PRY (2)'!$C$799:$K$799</c:f>
              <c:numCache>
                <c:formatCode>#,##0,,</c:formatCode>
                <c:ptCount val="9"/>
                <c:pt idx="8">
                  <c:v>357618520706.91736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AD-4747-BB15-DB7BAB846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2075198176"/>
        <c:axId val="2075211232"/>
      </c:barChart>
      <c:catAx>
        <c:axId val="207519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211232"/>
        <c:crosses val="autoZero"/>
        <c:auto val="1"/>
        <c:lblAlgn val="ctr"/>
        <c:lblOffset val="100"/>
        <c:noMultiLvlLbl val="0"/>
      </c:catAx>
      <c:valAx>
        <c:axId val="207521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COP</a:t>
                </a:r>
                <a:r>
                  <a:rPr lang="es-ES" baseline="0"/>
                  <a:t> MILLONES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198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Caja Vs. Reservas médicas. COP 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PRY!$B$607</c:f>
              <c:strCache>
                <c:ptCount val="1"/>
                <c:pt idx="0">
                  <c:v>Reservas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PRY!$D$607:$Q$607</c:f>
              <c:numCache>
                <c:formatCode>#,##0,,</c:formatCode>
                <c:ptCount val="14"/>
                <c:pt idx="0">
                  <c:v>262220908632.70834</c:v>
                </c:pt>
                <c:pt idx="1">
                  <c:v>294829387307.29163</c:v>
                </c:pt>
                <c:pt idx="2">
                  <c:v>374904160063.95837</c:v>
                </c:pt>
                <c:pt idx="3">
                  <c:v>334582190981.81604</c:v>
                </c:pt>
                <c:pt idx="4">
                  <c:v>355719166666.66669</c:v>
                </c:pt>
                <c:pt idx="5">
                  <c:v>356697332893.07074</c:v>
                </c:pt>
                <c:pt idx="6">
                  <c:v>386303211523.19562</c:v>
                </c:pt>
                <c:pt idx="7">
                  <c:v>396347095022.79877</c:v>
                </c:pt>
                <c:pt idx="8">
                  <c:v>404670384018.27753</c:v>
                </c:pt>
                <c:pt idx="9">
                  <c:v>413168462082.66125</c:v>
                </c:pt>
                <c:pt idx="10">
                  <c:v>423910842096.81049</c:v>
                </c:pt>
                <c:pt idx="11">
                  <c:v>437899899886.00519</c:v>
                </c:pt>
                <c:pt idx="12">
                  <c:v>453226396382.01532</c:v>
                </c:pt>
                <c:pt idx="13">
                  <c:v>455492528363.92535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7-49D6-9EFC-9AB90392A3D1}"/>
            </c:ext>
          </c:extLst>
        </c:ser>
        <c:ser>
          <c:idx val="2"/>
          <c:order val="2"/>
          <c:tx>
            <c:strRef>
              <c:f>PRY!$B$608</c:f>
              <c:strCache>
                <c:ptCount val="1"/>
                <c:pt idx="0">
                  <c:v>Caja excedente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invertIfNegative val="0"/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PRY!$D$608:$Q$608</c:f>
              <c:numCache>
                <c:formatCode>#,##0,,</c:formatCode>
                <c:ptCount val="14"/>
                <c:pt idx="0">
                  <c:v>-251391183845.70834</c:v>
                </c:pt>
                <c:pt idx="1">
                  <c:v>-274217779972.29163</c:v>
                </c:pt>
                <c:pt idx="2">
                  <c:v>-335316939116.95837</c:v>
                </c:pt>
                <c:pt idx="3">
                  <c:v>-272900692266.83179</c:v>
                </c:pt>
                <c:pt idx="4">
                  <c:v>-136786645833.45908</c:v>
                </c:pt>
                <c:pt idx="5">
                  <c:v>-103078511641.99475</c:v>
                </c:pt>
                <c:pt idx="6">
                  <c:v>-46557299302.512634</c:v>
                </c:pt>
                <c:pt idx="7">
                  <c:v>1367296684.8582764</c:v>
                </c:pt>
                <c:pt idx="8">
                  <c:v>167981140839.15985</c:v>
                </c:pt>
                <c:pt idx="9">
                  <c:v>233697814677.82703</c:v>
                </c:pt>
                <c:pt idx="10">
                  <c:v>322626548754.76398</c:v>
                </c:pt>
                <c:pt idx="11">
                  <c:v>422922479469.84088</c:v>
                </c:pt>
                <c:pt idx="12">
                  <c:v>527896288672.67902</c:v>
                </c:pt>
                <c:pt idx="13">
                  <c:v>617470758718.96167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57-49D6-9EFC-9AB90392A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2857520"/>
        <c:axId val="2032846640"/>
      </c:barChart>
      <c:lineChart>
        <c:grouping val="standard"/>
        <c:varyColors val="0"/>
        <c:ser>
          <c:idx val="0"/>
          <c:order val="0"/>
          <c:tx>
            <c:strRef>
              <c:f>PRY!$B$606</c:f>
              <c:strCache>
                <c:ptCount val="1"/>
                <c:pt idx="0">
                  <c:v>Caja 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PRY!$D$606:$Q$606</c:f>
              <c:numCache>
                <c:formatCode>#,##0,,</c:formatCode>
                <c:ptCount val="14"/>
                <c:pt idx="0">
                  <c:v>10829724787</c:v>
                </c:pt>
                <c:pt idx="1">
                  <c:v>20611607335</c:v>
                </c:pt>
                <c:pt idx="2">
                  <c:v>39587220947</c:v>
                </c:pt>
                <c:pt idx="3">
                  <c:v>61681498714.984261</c:v>
                </c:pt>
                <c:pt idx="4">
                  <c:v>218932520833.20761</c:v>
                </c:pt>
                <c:pt idx="5">
                  <c:v>253618821251.07599</c:v>
                </c:pt>
                <c:pt idx="6">
                  <c:v>339745912220.68298</c:v>
                </c:pt>
                <c:pt idx="7">
                  <c:v>397714391707.65704</c:v>
                </c:pt>
                <c:pt idx="8">
                  <c:v>572651524857.43738</c:v>
                </c:pt>
                <c:pt idx="9">
                  <c:v>646866276760.48828</c:v>
                </c:pt>
                <c:pt idx="10">
                  <c:v>746537390851.57446</c:v>
                </c:pt>
                <c:pt idx="11">
                  <c:v>860822379355.84607</c:v>
                </c:pt>
                <c:pt idx="12">
                  <c:v>981122685054.69434</c:v>
                </c:pt>
                <c:pt idx="13">
                  <c:v>1072963287082.887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7-49D6-9EFC-9AB90392A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857520"/>
        <c:axId val="2032846640"/>
      </c:lineChart>
      <c:catAx>
        <c:axId val="203285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846640"/>
        <c:crosses val="autoZero"/>
        <c:auto val="1"/>
        <c:lblAlgn val="ctr"/>
        <c:lblOffset val="100"/>
        <c:noMultiLvlLbl val="0"/>
      </c:catAx>
      <c:valAx>
        <c:axId val="203284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857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PARA</a:t>
            </a:r>
            <a:r>
              <a:rPr lang="es-CO" baseline="0"/>
              <a:t> CUMPLIR ORDENANZA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9641201338382319"/>
          <c:y val="0.16184893554972296"/>
          <c:w val="0.50382614386942082"/>
          <c:h val="0.7443747163183548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82-4896-B6E9-5C1D3172B6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82-4896-B6E9-5C1D3172B6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382-4896-B6E9-5C1D3172B6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'PRY (2)'!$B$526:$B$528</c:f>
              <c:strCache>
                <c:ptCount val="3"/>
                <c:pt idx="0">
                  <c:v>PUBLICOS</c:v>
                </c:pt>
                <c:pt idx="1">
                  <c:v>NUEVOS RECURSOS PÚBLICOS</c:v>
                </c:pt>
                <c:pt idx="2">
                  <c:v>PRIVADOS</c:v>
                </c:pt>
              </c:strCache>
            </c:strRef>
          </c:cat>
          <c:val>
            <c:numRef>
              <c:f>'PRY (2)'!$G$526:$G$528</c:f>
              <c:numCache>
                <c:formatCode>0.00%</c:formatCode>
                <c:ptCount val="3"/>
                <c:pt idx="0">
                  <c:v>0.40189669087833679</c:v>
                </c:pt>
                <c:pt idx="1">
                  <c:v>0.10810330912166322</c:v>
                </c:pt>
                <c:pt idx="2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82-4896-B6E9-5C1D3172B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'PRY (2)'!$B$16:$C$16</c:f>
              <c:strCache>
                <c:ptCount val="2"/>
                <c:pt idx="0">
                  <c:v>CUENTAS POR COBRAR SALUD</c:v>
                </c:pt>
                <c:pt idx="1">
                  <c:v>COP 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'PRY (2)'!$D$6:$M$6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</c:strCache>
            </c:strRef>
          </c:cat>
          <c:val>
            <c:numRef>
              <c:f>'PRY (2)'!$D$16:$M$16</c:f>
              <c:numCache>
                <c:formatCode>#,##0,,</c:formatCode>
                <c:ptCount val="10"/>
                <c:pt idx="0">
                  <c:v>112804280817</c:v>
                </c:pt>
                <c:pt idx="1">
                  <c:v>156232780967</c:v>
                </c:pt>
                <c:pt idx="2">
                  <c:v>226327325388</c:v>
                </c:pt>
                <c:pt idx="3">
                  <c:v>225495354240.90894</c:v>
                </c:pt>
                <c:pt idx="4">
                  <c:v>234700432979.32507</c:v>
                </c:pt>
                <c:pt idx="5">
                  <c:v>217714104036.40482</c:v>
                </c:pt>
                <c:pt idx="6">
                  <c:v>203583003094.28387</c:v>
                </c:pt>
                <c:pt idx="7">
                  <c:v>187959223212.52502</c:v>
                </c:pt>
                <c:pt idx="8">
                  <c:v>170745612527.41373</c:v>
                </c:pt>
                <c:pt idx="9">
                  <c:v>177751138846.69208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D-464F-9902-1997FA6F8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209056"/>
        <c:axId val="2075204704"/>
      </c:barChart>
      <c:lineChart>
        <c:grouping val="stacked"/>
        <c:varyColors val="0"/>
        <c:ser>
          <c:idx val="1"/>
          <c:order val="1"/>
          <c:tx>
            <c:strRef>
              <c:f>'PRY (2)'!$B$62:$C$62</c:f>
              <c:strCache>
                <c:ptCount val="2"/>
                <c:pt idx="0">
                  <c:v>INGRESOS OPERACIONALES</c:v>
                </c:pt>
                <c:pt idx="1">
                  <c:v>COP 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'PRY (2)'!$D$6:$M$6</c:f>
              <c:strCach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</c:strCache>
            </c:strRef>
          </c:cat>
          <c:val>
            <c:numRef>
              <c:f>'PRY (2)'!$D$62:$M$62</c:f>
              <c:numCache>
                <c:formatCode>#,##0,,</c:formatCode>
                <c:ptCount val="10"/>
                <c:pt idx="0">
                  <c:v>1190425478954</c:v>
                </c:pt>
                <c:pt idx="1">
                  <c:v>1349953464576</c:v>
                </c:pt>
                <c:pt idx="2">
                  <c:v>1444415524848</c:v>
                </c:pt>
                <c:pt idx="3">
                  <c:v>1472940849747.272</c:v>
                </c:pt>
                <c:pt idx="4">
                  <c:v>1532116355922.804</c:v>
                </c:pt>
                <c:pt idx="5">
                  <c:v>1593668750244.5151</c:v>
                </c:pt>
                <c:pt idx="6">
                  <c:v>1657694248290.271</c:v>
                </c:pt>
                <c:pt idx="7">
                  <c:v>1724292010390.7253</c:v>
                </c:pt>
                <c:pt idx="8">
                  <c:v>1793565159113.97</c:v>
                </c:pt>
                <c:pt idx="9">
                  <c:v>1865622001255.1182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ED-464F-9902-1997FA6F8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5200896"/>
        <c:axId val="2075200352"/>
      </c:lineChart>
      <c:catAx>
        <c:axId val="207520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204704"/>
        <c:crosses val="autoZero"/>
        <c:auto val="1"/>
        <c:lblAlgn val="ctr"/>
        <c:lblOffset val="100"/>
        <c:noMultiLvlLbl val="0"/>
      </c:catAx>
      <c:valAx>
        <c:axId val="207520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Eje de la Cartera COP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209056"/>
        <c:crosses val="autoZero"/>
        <c:crossBetween val="between"/>
      </c:valAx>
      <c:valAx>
        <c:axId val="207520035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eje de los ingresos COP</a:t>
                </a:r>
                <a:r>
                  <a:rPr lang="es-CO" baseline="0"/>
                  <a:t> M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,,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200896"/>
        <c:crosses val="max"/>
        <c:crossBetween val="between"/>
      </c:valAx>
      <c:catAx>
        <c:axId val="2075200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5200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Población 2018E:</a:t>
            </a:r>
            <a:r>
              <a:rPr lang="es-CO" baseline="0"/>
              <a:t> 1.692.000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033945756780404"/>
          <c:y val="0.14134076990376204"/>
          <c:w val="0.39209908136482946"/>
          <c:h val="0.653498468941382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1B-40BD-AED6-D4E686C4AE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1B-40BD-AED6-D4E686C4AE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1B-40BD-AED6-D4E686C4AE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C1B-40BD-AED6-D4E686C4AE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C1B-40BD-AED6-D4E686C4AE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'PRY (2)'!$B$289:$B$293</c:f>
              <c:strCache>
                <c:ptCount val="5"/>
                <c:pt idx="0">
                  <c:v>BÁSICA </c:v>
                </c:pt>
                <c:pt idx="1">
                  <c:v>DISPERSA</c:v>
                </c:pt>
                <c:pt idx="2">
                  <c:v>CONURBADA</c:v>
                </c:pt>
                <c:pt idx="3">
                  <c:v>BÁSICA_C</c:v>
                </c:pt>
                <c:pt idx="4">
                  <c:v>PILOTO</c:v>
                </c:pt>
              </c:strCache>
            </c:strRef>
          </c:cat>
          <c:val>
            <c:numRef>
              <c:f>'PRY (2)'!$F$289:$F$293</c:f>
              <c:numCache>
                <c:formatCode>#,##0</c:formatCode>
                <c:ptCount val="5"/>
                <c:pt idx="0">
                  <c:v>644465.75</c:v>
                </c:pt>
                <c:pt idx="1">
                  <c:v>281509.7</c:v>
                </c:pt>
                <c:pt idx="2">
                  <c:v>110045.15</c:v>
                </c:pt>
                <c:pt idx="3">
                  <c:v>114475</c:v>
                </c:pt>
                <c:pt idx="4">
                  <c:v>542217.25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1B-40BD-AED6-D4E686C4A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'PRY (2)'!$D$6:$F$6</c:f>
              <c:strCach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strCache>
            </c:strRef>
          </c:cat>
          <c:val>
            <c:numRef>
              <c:f>'PRY (2)'!$D$16:$F$16</c:f>
              <c:numCache>
                <c:formatCode>#,##0,,</c:formatCode>
                <c:ptCount val="3"/>
                <c:pt idx="0">
                  <c:v>112804280817</c:v>
                </c:pt>
                <c:pt idx="1">
                  <c:v>156232780967</c:v>
                </c:pt>
                <c:pt idx="2">
                  <c:v>226327325388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B-451B-9CDC-83153C8C8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199808"/>
        <c:axId val="2075207424"/>
      </c:barChart>
      <c:catAx>
        <c:axId val="207519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207424"/>
        <c:crosses val="autoZero"/>
        <c:auto val="1"/>
        <c:lblAlgn val="ctr"/>
        <c:lblOffset val="100"/>
        <c:noMultiLvlLbl val="0"/>
      </c:catAx>
      <c:valAx>
        <c:axId val="2075207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COP</a:t>
                </a:r>
                <a:r>
                  <a:rPr lang="es-CO" baseline="0"/>
                  <a:t> M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199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'PRY (2)'!$D$6:$F$6</c:f>
              <c:strCach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strCache>
            </c:strRef>
          </c:cat>
          <c:val>
            <c:numRef>
              <c:f>'PRY (2)'!$D$62:$F$62</c:f>
              <c:numCache>
                <c:formatCode>#,##0,,</c:formatCode>
                <c:ptCount val="3"/>
                <c:pt idx="0">
                  <c:v>1190425478954</c:v>
                </c:pt>
                <c:pt idx="1">
                  <c:v>1349953464576</c:v>
                </c:pt>
                <c:pt idx="2">
                  <c:v>1444415524848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D2-424E-BEE0-008EC59C2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023328"/>
        <c:axId val="2075017344"/>
      </c:barChart>
      <c:catAx>
        <c:axId val="20750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017344"/>
        <c:crosses val="autoZero"/>
        <c:auto val="1"/>
        <c:lblAlgn val="ctr"/>
        <c:lblOffset val="100"/>
        <c:noMultiLvlLbl val="0"/>
      </c:catAx>
      <c:valAx>
        <c:axId val="207501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COP</a:t>
                </a:r>
                <a:r>
                  <a:rPr lang="es-CO" baseline="0"/>
                  <a:t> M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023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'PRY (2)'!$D$6:$K$6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P</c:v>
                </c:pt>
                <c:pt idx="4">
                  <c:v>2019 P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</c:strCache>
            </c:strRef>
          </c:cat>
          <c:val>
            <c:numRef>
              <c:f>'PRY (2)'!$D$76:$K$76</c:f>
              <c:numCache>
                <c:formatCode>0.00%</c:formatCode>
                <c:ptCount val="8"/>
                <c:pt idx="0">
                  <c:v>-5.7319742973710924E-2</c:v>
                </c:pt>
                <c:pt idx="1">
                  <c:v>-4.8318402234322204E-2</c:v>
                </c:pt>
                <c:pt idx="2">
                  <c:v>-0.24586030636604433</c:v>
                </c:pt>
                <c:pt idx="3">
                  <c:v>-2.0428361512297814E-2</c:v>
                </c:pt>
                <c:pt idx="4">
                  <c:v>1.0021566924285533E-2</c:v>
                </c:pt>
                <c:pt idx="5">
                  <c:v>3.0083704864304381E-2</c:v>
                </c:pt>
                <c:pt idx="6">
                  <c:v>4.9582050354784551E-2</c:v>
                </c:pt>
                <c:pt idx="7">
                  <c:v>7.0109322362808577E-2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6-4A5A-8585-F955AD78A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026592"/>
        <c:axId val="2075029312"/>
      </c:barChart>
      <c:catAx>
        <c:axId val="20750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029312"/>
        <c:crosses val="autoZero"/>
        <c:auto val="1"/>
        <c:lblAlgn val="ctr"/>
        <c:lblOffset val="100"/>
        <c:noMultiLvlLbl val="0"/>
      </c:catAx>
      <c:valAx>
        <c:axId val="207502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%/Ventas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5026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COMPOSICIÓN</a:t>
            </a:r>
            <a:r>
              <a:rPr lang="es-CO" baseline="0"/>
              <a:t> ACCIONARIA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9641201338382319"/>
          <c:y val="0.16184893554972296"/>
          <c:w val="0.50382614386942082"/>
          <c:h val="0.7443747163183548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86-49AA-9849-ADAB839068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86-49AA-9849-ADAB839068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86-49AA-9849-ADAB839068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86-49AA-9849-ADAB8390681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86-49AA-9849-ADAB8390681C}"/>
              </c:ext>
            </c:extLst>
          </c:dPt>
          <c:dLbls>
            <c:dLbl>
              <c:idx val="0"/>
              <c:layout>
                <c:manualLayout>
                  <c:x val="6.5630689293609296E-2"/>
                  <c:y val="3.12962843254324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86-49AA-9849-ADAB8390681C}"/>
                </c:ext>
              </c:extLst>
            </c:dLbl>
            <c:dLbl>
              <c:idx val="1"/>
              <c:layout>
                <c:manualLayout>
                  <c:x val="8.5943779928272318E-2"/>
                  <c:y val="4.61559280520039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86-49AA-9849-ADAB8390681C}"/>
                </c:ext>
              </c:extLst>
            </c:dLbl>
            <c:dLbl>
              <c:idx val="2"/>
              <c:layout>
                <c:manualLayout>
                  <c:x val="6.0466964530197086E-2"/>
                  <c:y val="7.597395539940286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86-49AA-9849-ADAB8390681C}"/>
                </c:ext>
              </c:extLst>
            </c:dLbl>
            <c:dLbl>
              <c:idx val="3"/>
              <c:layout>
                <c:manualLayout>
                  <c:x val="-0.23073504372839007"/>
                  <c:y val="-3.635091304017830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86-49AA-9849-ADAB8390681C}"/>
                </c:ext>
              </c:extLst>
            </c:dLbl>
            <c:dLbl>
              <c:idx val="4"/>
              <c:layout>
                <c:manualLayout>
                  <c:x val="-0.11153534590464018"/>
                  <c:y val="2.78647082406509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86-49AA-9849-ADAB83906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PRY!$B$547:$B$551</c:f>
              <c:strCache>
                <c:ptCount val="5"/>
                <c:pt idx="0">
                  <c:v>GOB. ANTIOQUIA</c:v>
                </c:pt>
                <c:pt idx="1">
                  <c:v>ALC. MEDELLIN</c:v>
                </c:pt>
                <c:pt idx="2">
                  <c:v>COMFAMA</c:v>
                </c:pt>
                <c:pt idx="3">
                  <c:v>ACREENCIAS PÚBLICOS</c:v>
                </c:pt>
                <c:pt idx="4">
                  <c:v>BOCAS</c:v>
                </c:pt>
              </c:strCache>
            </c:strRef>
          </c:cat>
          <c:val>
            <c:numRef>
              <c:f>PRY!$G$547:$G$551</c:f>
              <c:numCache>
                <c:formatCode>0.00%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86-49AA-9849-ADAB83906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COMPOSICIÓN</a:t>
            </a:r>
            <a:r>
              <a:rPr lang="es-CO" baseline="0"/>
              <a:t> ACCIONARIA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9641201338382319"/>
          <c:y val="0.16184893554972296"/>
          <c:w val="0.50382614386942082"/>
          <c:h val="0.7443747163183548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86-49AA-9849-ADAB839068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86-49AA-9849-ADAB839068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86-49AA-9849-ADAB839068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86-49AA-9849-ADAB8390681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86-49AA-9849-ADAB8390681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3A4-437F-8208-D4BFEC6E3894}"/>
              </c:ext>
            </c:extLst>
          </c:dPt>
          <c:dLbls>
            <c:dLbl>
              <c:idx val="0"/>
              <c:layout>
                <c:manualLayout>
                  <c:x val="6.9387187634935427E-2"/>
                  <c:y val="0.1088035159084068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86-49AA-9849-ADAB8390681C}"/>
                </c:ext>
              </c:extLst>
            </c:dLbl>
            <c:dLbl>
              <c:idx val="1"/>
              <c:layout>
                <c:manualLayout>
                  <c:x val="8.5943779928272318E-2"/>
                  <c:y val="4.61559280520039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86-49AA-9849-ADAB8390681C}"/>
                </c:ext>
              </c:extLst>
            </c:dLbl>
            <c:dLbl>
              <c:idx val="2"/>
              <c:layout>
                <c:manualLayout>
                  <c:x val="6.0466964530197086E-2"/>
                  <c:y val="7.597395539940286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86-49AA-9849-ADAB8390681C}"/>
                </c:ext>
              </c:extLst>
            </c:dLbl>
            <c:dLbl>
              <c:idx val="3"/>
              <c:layout>
                <c:manualLayout>
                  <c:x val="-1.2284776902887139E-2"/>
                  <c:y val="-4.43502456929725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86-49AA-9849-ADAB8390681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86-49AA-9849-ADAB83906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PRY!$B$547:$B$552</c:f>
              <c:strCache>
                <c:ptCount val="6"/>
                <c:pt idx="0">
                  <c:v>GOB. ANTIOQUIA</c:v>
                </c:pt>
                <c:pt idx="1">
                  <c:v>ALC. MEDELLIN</c:v>
                </c:pt>
                <c:pt idx="2">
                  <c:v>COMFAMA</c:v>
                </c:pt>
                <c:pt idx="3">
                  <c:v>ACREENCIAS PÚBLICOS</c:v>
                </c:pt>
                <c:pt idx="4">
                  <c:v>BOCAS</c:v>
                </c:pt>
                <c:pt idx="5">
                  <c:v>ACREENCIAS PRIVADOS</c:v>
                </c:pt>
              </c:strCache>
            </c:strRef>
          </c:cat>
          <c:val>
            <c:numRef>
              <c:f>PRY!$G$547:$G$552</c:f>
              <c:numCache>
                <c:formatCode>0.00%</c:formatCode>
                <c:ptCount val="6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</c:v>
                </c:pt>
                <c:pt idx="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86-49AA-9849-ADAB83906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PRY!$B$725</c:f>
              <c:strCache>
                <c:ptCount val="1"/>
                <c:pt idx="0">
                  <c:v>UPC PROMEDIO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PRY!$F$723:$Q$723</c:f>
              <c:strCache>
                <c:ptCount val="12"/>
                <c:pt idx="0">
                  <c:v>2017</c:v>
                </c:pt>
                <c:pt idx="1">
                  <c:v>2018 </c:v>
                </c:pt>
                <c:pt idx="2">
                  <c:v>2019 </c:v>
                </c:pt>
                <c:pt idx="3">
                  <c:v>2020 P</c:v>
                </c:pt>
                <c:pt idx="4">
                  <c:v>2021 P</c:v>
                </c:pt>
                <c:pt idx="5">
                  <c:v>2022 P</c:v>
                </c:pt>
                <c:pt idx="6">
                  <c:v>2023 P</c:v>
                </c:pt>
                <c:pt idx="7">
                  <c:v>2024 P</c:v>
                </c:pt>
                <c:pt idx="8">
                  <c:v>2025 P</c:v>
                </c:pt>
                <c:pt idx="9">
                  <c:v>2026 P</c:v>
                </c:pt>
                <c:pt idx="10">
                  <c:v>2027 P</c:v>
                </c:pt>
                <c:pt idx="11">
                  <c:v>2028 P</c:v>
                </c:pt>
              </c:strCache>
            </c:strRef>
          </c:cat>
          <c:val>
            <c:numRef>
              <c:f>PRY!$F$725:$Q$725</c:f>
              <c:numCache>
                <c:formatCode>#,##0</c:formatCode>
                <c:ptCount val="12"/>
                <c:pt idx="0">
                  <c:v>808453.67999717139</c:v>
                </c:pt>
                <c:pt idx="1">
                  <c:v>894602.1027999561</c:v>
                </c:pt>
                <c:pt idx="2">
                  <c:v>986716.96967694617</c:v>
                </c:pt>
                <c:pt idx="3">
                  <c:v>1041896.460247784</c:v>
                </c:pt>
                <c:pt idx="4">
                  <c:v>1079939.3862791373</c:v>
                </c:pt>
                <c:pt idx="5">
                  <c:v>1106022.1362431229</c:v>
                </c:pt>
                <c:pt idx="6">
                  <c:v>1132836.5283070828</c:v>
                </c:pt>
                <c:pt idx="7">
                  <c:v>1166821.6241562953</c:v>
                </c:pt>
                <c:pt idx="8">
                  <c:v>1201826.2728809845</c:v>
                </c:pt>
                <c:pt idx="9">
                  <c:v>1237881.0610674138</c:v>
                </c:pt>
                <c:pt idx="10">
                  <c:v>1275017.4928994363</c:v>
                </c:pt>
                <c:pt idx="11">
                  <c:v>1275017.4928994363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7-4876-B0EA-B57F76994217}"/>
            </c:ext>
          </c:extLst>
        </c:ser>
        <c:ser>
          <c:idx val="2"/>
          <c:order val="2"/>
          <c:tx>
            <c:strRef>
              <c:f>PRY!$B$726</c:f>
              <c:strCache>
                <c:ptCount val="1"/>
                <c:pt idx="0">
                  <c:v>INGRESO PROMEDIO POR AFILIADO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PRY!$F$723:$Q$723</c:f>
              <c:strCache>
                <c:ptCount val="12"/>
                <c:pt idx="0">
                  <c:v>2017</c:v>
                </c:pt>
                <c:pt idx="1">
                  <c:v>2018 </c:v>
                </c:pt>
                <c:pt idx="2">
                  <c:v>2019 </c:v>
                </c:pt>
                <c:pt idx="3">
                  <c:v>2020 P</c:v>
                </c:pt>
                <c:pt idx="4">
                  <c:v>2021 P</c:v>
                </c:pt>
                <c:pt idx="5">
                  <c:v>2022 P</c:v>
                </c:pt>
                <c:pt idx="6">
                  <c:v>2023 P</c:v>
                </c:pt>
                <c:pt idx="7">
                  <c:v>2024 P</c:v>
                </c:pt>
                <c:pt idx="8">
                  <c:v>2025 P</c:v>
                </c:pt>
                <c:pt idx="9">
                  <c:v>2026 P</c:v>
                </c:pt>
                <c:pt idx="10">
                  <c:v>2027 P</c:v>
                </c:pt>
                <c:pt idx="11">
                  <c:v>2028 P</c:v>
                </c:pt>
              </c:strCache>
            </c:strRef>
          </c:cat>
          <c:val>
            <c:numRef>
              <c:f>PRY!$F$726:$Q$726</c:f>
              <c:numCache>
                <c:formatCode>#,##0</c:formatCode>
                <c:ptCount val="12"/>
                <c:pt idx="0">
                  <c:v>853313.97162135318</c:v>
                </c:pt>
                <c:pt idx="1">
                  <c:v>944242.68482977967</c:v>
                </c:pt>
                <c:pt idx="2">
                  <c:v>1041468.9141673117</c:v>
                </c:pt>
                <c:pt idx="3">
                  <c:v>1099710.259857283</c:v>
                </c:pt>
                <c:pt idx="4">
                  <c:v>1129582.5398118696</c:v>
                </c:pt>
                <c:pt idx="5">
                  <c:v>1156864.2736979797</c:v>
                </c:pt>
                <c:pt idx="6">
                  <c:v>1184911.2821467395</c:v>
                </c:pt>
                <c:pt idx="7">
                  <c:v>1220458.6206111414</c:v>
                </c:pt>
                <c:pt idx="8">
                  <c:v>1257072.379229476</c:v>
                </c:pt>
                <c:pt idx="9">
                  <c:v>1294784.5506063602</c:v>
                </c:pt>
                <c:pt idx="10">
                  <c:v>1333628.0871245509</c:v>
                </c:pt>
                <c:pt idx="11">
                  <c:v>1333628.0871245512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57-4876-B0EA-B57F76994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2847184"/>
        <c:axId val="2032859152"/>
      </c:barChart>
      <c:lineChart>
        <c:grouping val="standard"/>
        <c:varyColors val="0"/>
        <c:ser>
          <c:idx val="0"/>
          <c:order val="0"/>
          <c:tx>
            <c:strRef>
              <c:f>PRY!$B$724</c:f>
              <c:strCache>
                <c:ptCount val="1"/>
                <c:pt idx="0">
                  <c:v>AFILIADOS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PRY!$F$723:$Q$723</c:f>
              <c:strCache>
                <c:ptCount val="12"/>
                <c:pt idx="0">
                  <c:v>2017</c:v>
                </c:pt>
                <c:pt idx="1">
                  <c:v>2018 </c:v>
                </c:pt>
                <c:pt idx="2">
                  <c:v>2019 </c:v>
                </c:pt>
                <c:pt idx="3">
                  <c:v>2020 P</c:v>
                </c:pt>
                <c:pt idx="4">
                  <c:v>2021 P</c:v>
                </c:pt>
                <c:pt idx="5">
                  <c:v>2022 P</c:v>
                </c:pt>
                <c:pt idx="6">
                  <c:v>2023 P</c:v>
                </c:pt>
                <c:pt idx="7">
                  <c:v>2024 P</c:v>
                </c:pt>
                <c:pt idx="8">
                  <c:v>2025 P</c:v>
                </c:pt>
                <c:pt idx="9">
                  <c:v>2026 P</c:v>
                </c:pt>
                <c:pt idx="10">
                  <c:v>2027 P</c:v>
                </c:pt>
                <c:pt idx="11">
                  <c:v>2028 P</c:v>
                </c:pt>
              </c:strCache>
            </c:strRef>
          </c:cat>
          <c:val>
            <c:numRef>
              <c:f>PRY!$F$724:$Q$724</c:f>
              <c:numCache>
                <c:formatCode>#,##0</c:formatCode>
                <c:ptCount val="12"/>
                <c:pt idx="0">
                  <c:v>1692712.85</c:v>
                </c:pt>
                <c:pt idx="1">
                  <c:v>1705275.4461735599</c:v>
                </c:pt>
                <c:pt idx="2">
                  <c:v>1666224</c:v>
                </c:pt>
                <c:pt idx="3">
                  <c:v>1697716.8329999999</c:v>
                </c:pt>
                <c:pt idx="4">
                  <c:v>1695484.1071649997</c:v>
                </c:pt>
                <c:pt idx="5">
                  <c:v>1713691.2177008246</c:v>
                </c:pt>
                <c:pt idx="6">
                  <c:v>1731938.3637893286</c:v>
                </c:pt>
                <c:pt idx="7">
                  <c:v>1740598.0556082751</c:v>
                </c:pt>
                <c:pt idx="8">
                  <c:v>1749301.0458863161</c:v>
                </c:pt>
                <c:pt idx="9">
                  <c:v>1758047.5511157475</c:v>
                </c:pt>
                <c:pt idx="10">
                  <c:v>1766837.788871326</c:v>
                </c:pt>
                <c:pt idx="11">
                  <c:v>1775671.9778156825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57-4876-B0EA-B57F76994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847728"/>
        <c:axId val="2032855344"/>
      </c:lineChart>
      <c:catAx>
        <c:axId val="203284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859152"/>
        <c:crosses val="autoZero"/>
        <c:auto val="1"/>
        <c:lblAlgn val="ctr"/>
        <c:lblOffset val="100"/>
        <c:noMultiLvlLbl val="0"/>
      </c:catAx>
      <c:valAx>
        <c:axId val="203285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COP (Aplica para barras)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847184"/>
        <c:crosses val="autoZero"/>
        <c:crossBetween val="between"/>
      </c:valAx>
      <c:valAx>
        <c:axId val="203285534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 (Aplica para línea)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847728"/>
        <c:crosses val="max"/>
        <c:crossBetween val="between"/>
      </c:valAx>
      <c:catAx>
        <c:axId val="2032847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328553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Endeudamiento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PRY!$B$567</c:f>
              <c:strCache>
                <c:ptCount val="1"/>
                <c:pt idx="0">
                  <c:v>Nivel de endeudamiento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PRY!$D$6:$Q$6</c:f>
              <c:strCache>
                <c:ptCount val="1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</c:v>
                </c:pt>
                <c:pt idx="4">
                  <c:v>2019 </c:v>
                </c:pt>
                <c:pt idx="5">
                  <c:v>2020 P</c:v>
                </c:pt>
                <c:pt idx="6">
                  <c:v>2021 P</c:v>
                </c:pt>
                <c:pt idx="7">
                  <c:v>2022 P</c:v>
                </c:pt>
                <c:pt idx="8">
                  <c:v>2023 P</c:v>
                </c:pt>
                <c:pt idx="9">
                  <c:v>2024 P</c:v>
                </c:pt>
                <c:pt idx="10">
                  <c:v>2025 P</c:v>
                </c:pt>
                <c:pt idx="11">
                  <c:v>2026 P</c:v>
                </c:pt>
                <c:pt idx="12">
                  <c:v>2027 P</c:v>
                </c:pt>
                <c:pt idx="13">
                  <c:v>2028 P</c:v>
                </c:pt>
              </c:strCache>
            </c:strRef>
          </c:cat>
          <c:val>
            <c:numRef>
              <c:f>PRY!$D$567:$Q$567</c:f>
              <c:numCache>
                <c:formatCode>#,##0.00</c:formatCode>
                <c:ptCount val="14"/>
                <c:pt idx="0">
                  <c:v>1.891872652832655</c:v>
                </c:pt>
                <c:pt idx="1">
                  <c:v>2.2381005348022716</c:v>
                </c:pt>
                <c:pt idx="2">
                  <c:v>3.1568909931683922</c:v>
                </c:pt>
                <c:pt idx="3">
                  <c:v>2.9879994040652567</c:v>
                </c:pt>
                <c:pt idx="4">
                  <c:v>2.0938021319255276</c:v>
                </c:pt>
                <c:pt idx="5">
                  <c:v>2.0001681069111346</c:v>
                </c:pt>
                <c:pt idx="6">
                  <c:v>1.9047226678165541</c:v>
                </c:pt>
                <c:pt idx="7">
                  <c:v>1.7848000195442839</c:v>
                </c:pt>
                <c:pt idx="8">
                  <c:v>1.4386267832345934</c:v>
                </c:pt>
                <c:pt idx="9">
                  <c:v>1.2990163232395462</c:v>
                </c:pt>
                <c:pt idx="10">
                  <c:v>1.1877482290955266</c:v>
                </c:pt>
                <c:pt idx="11">
                  <c:v>1.0906558059716589</c:v>
                </c:pt>
                <c:pt idx="12">
                  <c:v>1.0101063168894768</c:v>
                </c:pt>
                <c:pt idx="13">
                  <c:v>0.94560420121315858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2C-4F2A-B3C0-FBF3350B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2851536"/>
        <c:axId val="2032849360"/>
      </c:barChart>
      <c:lineChart>
        <c:grouping val="standard"/>
        <c:varyColors val="0"/>
        <c:ser>
          <c:idx val="1"/>
          <c:order val="1"/>
          <c:tx>
            <c:strRef>
              <c:f>PRY!$B$568</c:f>
              <c:strCache>
                <c:ptCount val="1"/>
                <c:pt idx="0">
                  <c:v>Objetivo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PRY!$D$568:$Q$568</c:f>
              <c:numCache>
                <c:formatCode>#,##0.00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C-4F2A-B3C0-FBF3350B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851536"/>
        <c:axId val="2032849360"/>
      </c:lineChart>
      <c:catAx>
        <c:axId val="203285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849360"/>
        <c:crosses val="autoZero"/>
        <c:auto val="1"/>
        <c:lblAlgn val="ctr"/>
        <c:lblOffset val="100"/>
        <c:noMultiLvlLbl val="0"/>
      </c:catAx>
      <c:valAx>
        <c:axId val="203284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32851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22" fmlaLink="$A$158" fmlaRange="$A$154:$A$157" sel="4" val="0"/>
</file>

<file path=xl/ctrlProps/ctrlProp2.xml><?xml version="1.0" encoding="utf-8"?>
<formControlPr xmlns="http://schemas.microsoft.com/office/spreadsheetml/2009/9/main" objectType="Drop" dropStyle="combo" dx="22" fmlaLink="$A$166" fmlaRange="$A$164:$A$165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png"/><Relationship Id="rId7" Type="http://schemas.openxmlformats.org/officeDocument/2006/relationships/image" Target="../media/image17.jpe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chart" Target="../charts/chart27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chart" Target="../charts/chart26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742950</xdr:colOff>
          <xdr:row>5</xdr:row>
          <xdr:rowOff>28575</xdr:rowOff>
        </xdr:from>
        <xdr:to>
          <xdr:col>1</xdr:col>
          <xdr:colOff>47625</xdr:colOff>
          <xdr:row>5</xdr:row>
          <xdr:rowOff>171450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0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8</xdr:row>
      <xdr:rowOff>42333</xdr:rowOff>
    </xdr:from>
    <xdr:to>
      <xdr:col>10</xdr:col>
      <xdr:colOff>484188</xdr:colOff>
      <xdr:row>23</xdr:row>
      <xdr:rowOff>100631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742950</xdr:colOff>
          <xdr:row>6</xdr:row>
          <xdr:rowOff>19050</xdr:rowOff>
        </xdr:from>
        <xdr:to>
          <xdr:col>1</xdr:col>
          <xdr:colOff>47625</xdr:colOff>
          <xdr:row>6</xdr:row>
          <xdr:rowOff>171450</xdr:rowOff>
        </xdr:to>
        <xdr:sp macro="" textlink="">
          <xdr:nvSpPr>
            <xdr:cNvPr id="5127" name="Drop Dow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28</xdr:row>
      <xdr:rowOff>0</xdr:rowOff>
    </xdr:from>
    <xdr:to>
      <xdr:col>4</xdr:col>
      <xdr:colOff>53960</xdr:colOff>
      <xdr:row>38</xdr:row>
      <xdr:rowOff>147821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88913</xdr:colOff>
      <xdr:row>27</xdr:row>
      <xdr:rowOff>171450</xdr:rowOff>
    </xdr:from>
    <xdr:to>
      <xdr:col>10</xdr:col>
      <xdr:colOff>238125</xdr:colOff>
      <xdr:row>38</xdr:row>
      <xdr:rowOff>135924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106747</xdr:colOff>
      <xdr:row>38</xdr:row>
      <xdr:rowOff>83143</xdr:rowOff>
    </xdr:from>
    <xdr:to>
      <xdr:col>10</xdr:col>
      <xdr:colOff>255960</xdr:colOff>
      <xdr:row>49</xdr:row>
      <xdr:rowOff>47617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8613</xdr:colOff>
      <xdr:row>38</xdr:row>
      <xdr:rowOff>85575</xdr:rowOff>
    </xdr:from>
    <xdr:to>
      <xdr:col>4</xdr:col>
      <xdr:colOff>62575</xdr:colOff>
      <xdr:row>49</xdr:row>
      <xdr:rowOff>50049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412750</xdr:colOff>
      <xdr:row>50</xdr:row>
      <xdr:rowOff>158750</xdr:rowOff>
    </xdr:from>
    <xdr:to>
      <xdr:col>4</xdr:col>
      <xdr:colOff>47625</xdr:colOff>
      <xdr:row>67</xdr:row>
      <xdr:rowOff>95521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13</xdr:col>
      <xdr:colOff>389463</xdr:colOff>
      <xdr:row>30</xdr:row>
      <xdr:rowOff>56641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048000"/>
          <a:ext cx="9723963" cy="29141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13</xdr:col>
      <xdr:colOff>163891</xdr:colOff>
      <xdr:row>53</xdr:row>
      <xdr:rowOff>65884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286500"/>
          <a:ext cx="9498391" cy="40663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13</xdr:col>
      <xdr:colOff>389463</xdr:colOff>
      <xdr:row>73</xdr:row>
      <xdr:rowOff>56641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1049000"/>
          <a:ext cx="9723963" cy="29141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13</xdr:col>
      <xdr:colOff>163891</xdr:colOff>
      <xdr:row>96</xdr:row>
      <xdr:rowOff>65884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4287500"/>
          <a:ext cx="9498391" cy="40663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13</xdr:col>
      <xdr:colOff>389463</xdr:colOff>
      <xdr:row>115</xdr:row>
      <xdr:rowOff>56641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19050000"/>
          <a:ext cx="9723963" cy="29141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13</xdr:col>
      <xdr:colOff>163891</xdr:colOff>
      <xdr:row>139</xdr:row>
      <xdr:rowOff>65884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22479000"/>
          <a:ext cx="9498391" cy="40663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13</xdr:col>
      <xdr:colOff>389463</xdr:colOff>
      <xdr:row>159</xdr:row>
      <xdr:rowOff>56641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27432000"/>
          <a:ext cx="9723963" cy="29141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13</xdr:col>
      <xdr:colOff>163891</xdr:colOff>
      <xdr:row>182</xdr:row>
      <xdr:rowOff>65884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30670500"/>
          <a:ext cx="9498391" cy="40663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13</xdr:col>
      <xdr:colOff>389463</xdr:colOff>
      <xdr:row>201</xdr:row>
      <xdr:rowOff>56641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" y="35433000"/>
          <a:ext cx="9723963" cy="29141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13</xdr:col>
      <xdr:colOff>163891</xdr:colOff>
      <xdr:row>224</xdr:row>
      <xdr:rowOff>65884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9600" y="38671500"/>
          <a:ext cx="9498391" cy="40663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15</xdr:col>
      <xdr:colOff>301028</xdr:colOff>
      <xdr:row>4</xdr:row>
      <xdr:rowOff>114300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0" y="190500"/>
          <a:ext cx="11731028" cy="685800"/>
        </a:xfrm>
        <a:prstGeom prst="rect">
          <a:avLst/>
        </a:prstGeom>
        <a:solidFill>
          <a:srgbClr val="FFC000">
            <a:lumMod val="60000"/>
            <a:lumOff val="40000"/>
          </a:srgbClr>
        </a:solidFill>
        <a:ln w="9525" cap="flat" cmpd="sng" algn="ctr">
          <a:solidFill>
            <a:srgbClr val="EEECE1">
              <a:lumMod val="75000"/>
            </a:srgbClr>
          </a:solidFill>
          <a:prstDash val="solid"/>
        </a:ln>
        <a:effectLst/>
      </xdr:spPr>
      <xdr:txBody>
        <a:bodyPr wrap="square" lIns="95047" tIns="47524" rIns="95047" bIns="47524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475236">
            <a:defRPr/>
          </a:pPr>
          <a:r>
            <a:rPr lang="es-CO" b="1">
              <a:solidFill>
                <a:srgbClr val="000000"/>
              </a:solidFill>
            </a:rPr>
            <a:t>1. Gestión con recuperación de cartera por COP 70mM, capitalización de acreencias por COP 233mM y capitalización de recursos frescos por COP 450mM</a:t>
          </a:r>
        </a:p>
      </xdr:txBody>
    </xdr:sp>
    <xdr:clientData/>
  </xdr:twoCellAnchor>
  <xdr:twoCellAnchor>
    <xdr:from>
      <xdr:col>0</xdr:col>
      <xdr:colOff>0</xdr:colOff>
      <xdr:row>74</xdr:row>
      <xdr:rowOff>0</xdr:rowOff>
    </xdr:from>
    <xdr:to>
      <xdr:col>15</xdr:col>
      <xdr:colOff>301028</xdr:colOff>
      <xdr:row>78</xdr:row>
      <xdr:rowOff>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0" y="14097000"/>
          <a:ext cx="11731028" cy="762000"/>
        </a:xfrm>
        <a:prstGeom prst="rect">
          <a:avLst/>
        </a:prstGeom>
        <a:solidFill>
          <a:srgbClr val="FFC000">
            <a:lumMod val="60000"/>
            <a:lumOff val="40000"/>
          </a:srgbClr>
        </a:solidFill>
        <a:ln w="9525" cap="flat" cmpd="sng" algn="ctr">
          <a:solidFill>
            <a:srgbClr val="EEECE1">
              <a:lumMod val="75000"/>
            </a:srgbClr>
          </a:solidFill>
          <a:prstDash val="solid"/>
        </a:ln>
        <a:effectLst/>
      </xdr:spPr>
      <xdr:txBody>
        <a:bodyPr wrap="square" lIns="95047" tIns="47524" rIns="95047" bIns="47524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475236">
            <a:defRPr/>
          </a:pPr>
          <a:r>
            <a:rPr lang="es-CO" b="1">
              <a:solidFill>
                <a:srgbClr val="000000"/>
              </a:solidFill>
            </a:rPr>
            <a:t>2. Gestión con recuperación de cartera por COP 120mM, capitalización de acreencias por COP 370mM y capitalización de recursos frescos por COP 300mM </a:t>
          </a:r>
        </a:p>
      </xdr:txBody>
    </xdr:sp>
    <xdr:clientData/>
  </xdr:twoCellAnchor>
  <xdr:twoCellAnchor editAs="oneCell">
    <xdr:from>
      <xdr:col>0</xdr:col>
      <xdr:colOff>0</xdr:colOff>
      <xdr:row>79</xdr:row>
      <xdr:rowOff>0</xdr:rowOff>
    </xdr:from>
    <xdr:to>
      <xdr:col>12</xdr:col>
      <xdr:colOff>579963</xdr:colOff>
      <xdr:row>94</xdr:row>
      <xdr:rowOff>56641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049500"/>
          <a:ext cx="9723963" cy="29141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16</xdr:col>
      <xdr:colOff>220532</xdr:colOff>
      <xdr:row>135</xdr:row>
      <xdr:rowOff>35336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479000"/>
          <a:ext cx="12412532" cy="327383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15</xdr:col>
      <xdr:colOff>301028</xdr:colOff>
      <xdr:row>149</xdr:row>
      <xdr:rowOff>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0" y="27622500"/>
          <a:ext cx="11731028" cy="762000"/>
        </a:xfrm>
        <a:prstGeom prst="rect">
          <a:avLst/>
        </a:prstGeom>
        <a:solidFill>
          <a:srgbClr val="FFC000">
            <a:lumMod val="60000"/>
            <a:lumOff val="40000"/>
          </a:srgbClr>
        </a:solidFill>
        <a:ln w="9525" cap="flat" cmpd="sng" algn="ctr">
          <a:solidFill>
            <a:srgbClr val="EEECE1">
              <a:lumMod val="75000"/>
            </a:srgbClr>
          </a:solidFill>
          <a:prstDash val="solid"/>
        </a:ln>
        <a:effectLst/>
      </xdr:spPr>
      <xdr:txBody>
        <a:bodyPr wrap="square" lIns="95047" tIns="47524" rIns="95047" bIns="47524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475236">
            <a:defRPr/>
          </a:pPr>
          <a:r>
            <a:rPr lang="es-CO" b="1">
              <a:solidFill>
                <a:srgbClr val="000000"/>
              </a:solidFill>
            </a:rPr>
            <a:t>3. Gestión con recuperación de cartera por COP 195mM, capitalización de acreencias por COP 370mM y capitalización de recursos frescos por COP </a:t>
          </a:r>
          <a:r>
            <a:rPr lang="es-CO" b="1">
              <a:solidFill>
                <a:srgbClr val="FF0000"/>
              </a:solidFill>
            </a:rPr>
            <a:t>300mM</a:t>
          </a:r>
        </a:p>
      </xdr:txBody>
    </xdr:sp>
    <xdr:clientData/>
  </xdr:twoCellAnchor>
  <xdr:twoCellAnchor editAs="oneCell">
    <xdr:from>
      <xdr:col>0</xdr:col>
      <xdr:colOff>0</xdr:colOff>
      <xdr:row>150</xdr:row>
      <xdr:rowOff>0</xdr:rowOff>
    </xdr:from>
    <xdr:to>
      <xdr:col>12</xdr:col>
      <xdr:colOff>579963</xdr:colOff>
      <xdr:row>165</xdr:row>
      <xdr:rowOff>56641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8575000"/>
          <a:ext cx="9723963" cy="29141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12</xdr:col>
      <xdr:colOff>350520</xdr:colOff>
      <xdr:row>188</xdr:row>
      <xdr:rowOff>68580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1813500"/>
          <a:ext cx="9494520" cy="406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16</xdr:col>
      <xdr:colOff>220980</xdr:colOff>
      <xdr:row>207</xdr:row>
      <xdr:rowOff>30480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6195000"/>
          <a:ext cx="12412980" cy="3268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12</xdr:col>
      <xdr:colOff>350520</xdr:colOff>
      <xdr:row>117</xdr:row>
      <xdr:rowOff>68580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8288000"/>
          <a:ext cx="9494520" cy="406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12</xdr:col>
      <xdr:colOff>579120</xdr:colOff>
      <xdr:row>20</xdr:row>
      <xdr:rowOff>60960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952500"/>
          <a:ext cx="9723120" cy="29184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12</xdr:col>
      <xdr:colOff>350520</xdr:colOff>
      <xdr:row>42</xdr:row>
      <xdr:rowOff>68580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000500"/>
          <a:ext cx="9494520" cy="4069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16</xdr:col>
      <xdr:colOff>220980</xdr:colOff>
      <xdr:row>61</xdr:row>
      <xdr:rowOff>30480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382000"/>
          <a:ext cx="12412980" cy="32689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171450</xdr:colOff>
      <xdr:row>535</xdr:row>
      <xdr:rowOff>142875</xdr:rowOff>
    </xdr:from>
    <xdr:to>
      <xdr:col>11</xdr:col>
      <xdr:colOff>257175</xdr:colOff>
      <xdr:row>552</xdr:row>
      <xdr:rowOff>100853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5602</xdr:colOff>
      <xdr:row>726</xdr:row>
      <xdr:rowOff>146797</xdr:rowOff>
    </xdr:from>
    <xdr:to>
      <xdr:col>12</xdr:col>
      <xdr:colOff>425823</xdr:colOff>
      <xdr:row>741</xdr:row>
      <xdr:rowOff>32497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233362</xdr:colOff>
      <xdr:row>628</xdr:row>
      <xdr:rowOff>0</xdr:rowOff>
    </xdr:from>
    <xdr:to>
      <xdr:col>8</xdr:col>
      <xdr:colOff>233362</xdr:colOff>
      <xdr:row>642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457200</xdr:colOff>
      <xdr:row>628</xdr:row>
      <xdr:rowOff>0</xdr:rowOff>
    </xdr:from>
    <xdr:to>
      <xdr:col>13</xdr:col>
      <xdr:colOff>457200</xdr:colOff>
      <xdr:row>642</xdr:row>
      <xdr:rowOff>66675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228600</xdr:colOff>
      <xdr:row>642</xdr:row>
      <xdr:rowOff>180975</xdr:rowOff>
    </xdr:from>
    <xdr:to>
      <xdr:col>8</xdr:col>
      <xdr:colOff>228600</xdr:colOff>
      <xdr:row>657</xdr:row>
      <xdr:rowOff>66675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457200</xdr:colOff>
      <xdr:row>642</xdr:row>
      <xdr:rowOff>171450</xdr:rowOff>
    </xdr:from>
    <xdr:to>
      <xdr:col>13</xdr:col>
      <xdr:colOff>457200</xdr:colOff>
      <xdr:row>657</xdr:row>
      <xdr:rowOff>57150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219075</xdr:colOff>
      <xdr:row>658</xdr:row>
      <xdr:rowOff>9525</xdr:rowOff>
    </xdr:from>
    <xdr:to>
      <xdr:col>8</xdr:col>
      <xdr:colOff>219075</xdr:colOff>
      <xdr:row>672</xdr:row>
      <xdr:rowOff>85725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447675</xdr:colOff>
      <xdr:row>658</xdr:row>
      <xdr:rowOff>0</xdr:rowOff>
    </xdr:from>
    <xdr:to>
      <xdr:col>13</xdr:col>
      <xdr:colOff>447675</xdr:colOff>
      <xdr:row>672</xdr:row>
      <xdr:rowOff>76200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238125</xdr:colOff>
      <xdr:row>673</xdr:row>
      <xdr:rowOff>28575</xdr:rowOff>
    </xdr:from>
    <xdr:to>
      <xdr:col>8</xdr:col>
      <xdr:colOff>238125</xdr:colOff>
      <xdr:row>687</xdr:row>
      <xdr:rowOff>104775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455984</xdr:colOff>
      <xdr:row>673</xdr:row>
      <xdr:rowOff>10133</xdr:rowOff>
    </xdr:from>
    <xdr:to>
      <xdr:col>13</xdr:col>
      <xdr:colOff>455985</xdr:colOff>
      <xdr:row>687</xdr:row>
      <xdr:rowOff>86333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0</xdr:colOff>
      <xdr:row>748</xdr:row>
      <xdr:rowOff>0</xdr:rowOff>
    </xdr:from>
    <xdr:to>
      <xdr:col>12</xdr:col>
      <xdr:colOff>420221</xdr:colOff>
      <xdr:row>762</xdr:row>
      <xdr:rowOff>78226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222926</xdr:colOff>
      <xdr:row>688</xdr:row>
      <xdr:rowOff>50665</xdr:rowOff>
    </xdr:from>
    <xdr:to>
      <xdr:col>8</xdr:col>
      <xdr:colOff>222926</xdr:colOff>
      <xdr:row>702</xdr:row>
      <xdr:rowOff>126865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455985</xdr:colOff>
      <xdr:row>688</xdr:row>
      <xdr:rowOff>60798</xdr:rowOff>
    </xdr:from>
    <xdr:to>
      <xdr:col>13</xdr:col>
      <xdr:colOff>455986</xdr:colOff>
      <xdr:row>702</xdr:row>
      <xdr:rowOff>136998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233059</xdr:colOff>
      <xdr:row>703</xdr:row>
      <xdr:rowOff>111463</xdr:rowOff>
    </xdr:from>
    <xdr:to>
      <xdr:col>8</xdr:col>
      <xdr:colOff>233059</xdr:colOff>
      <xdr:row>717</xdr:row>
      <xdr:rowOff>187664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96160</xdr:colOff>
      <xdr:row>794</xdr:row>
      <xdr:rowOff>0</xdr:rowOff>
    </xdr:from>
    <xdr:to>
      <xdr:col>9</xdr:col>
      <xdr:colOff>609600</xdr:colOff>
      <xdr:row>808</xdr:row>
      <xdr:rowOff>66675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110448</xdr:colOff>
      <xdr:row>793</xdr:row>
      <xdr:rowOff>171450</xdr:rowOff>
    </xdr:from>
    <xdr:to>
      <xdr:col>16</xdr:col>
      <xdr:colOff>623888</xdr:colOff>
      <xdr:row>808</xdr:row>
      <xdr:rowOff>57150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128282</xdr:colOff>
      <xdr:row>808</xdr:row>
      <xdr:rowOff>162533</xdr:rowOff>
    </xdr:from>
    <xdr:to>
      <xdr:col>16</xdr:col>
      <xdr:colOff>641723</xdr:colOff>
      <xdr:row>823</xdr:row>
      <xdr:rowOff>48233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104774</xdr:colOff>
      <xdr:row>808</xdr:row>
      <xdr:rowOff>164965</xdr:rowOff>
    </xdr:from>
    <xdr:to>
      <xdr:col>9</xdr:col>
      <xdr:colOff>618214</xdr:colOff>
      <xdr:row>823</xdr:row>
      <xdr:rowOff>50665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0</xdr:colOff>
      <xdr:row>838</xdr:row>
      <xdr:rowOff>0</xdr:rowOff>
    </xdr:from>
    <xdr:to>
      <xdr:col>10</xdr:col>
      <xdr:colOff>118961</xdr:colOff>
      <xdr:row>852</xdr:row>
      <xdr:rowOff>76200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0</xdr:colOff>
      <xdr:row>857</xdr:row>
      <xdr:rowOff>0</xdr:rowOff>
    </xdr:from>
    <xdr:to>
      <xdr:col>9</xdr:col>
      <xdr:colOff>513441</xdr:colOff>
      <xdr:row>871</xdr:row>
      <xdr:rowOff>76200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0</xdr:colOff>
      <xdr:row>874</xdr:row>
      <xdr:rowOff>0</xdr:rowOff>
    </xdr:from>
    <xdr:to>
      <xdr:col>9</xdr:col>
      <xdr:colOff>513441</xdr:colOff>
      <xdr:row>888</xdr:row>
      <xdr:rowOff>76200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455083</xdr:colOff>
      <xdr:row>703</xdr:row>
      <xdr:rowOff>116417</xdr:rowOff>
    </xdr:from>
    <xdr:to>
      <xdr:col>13</xdr:col>
      <xdr:colOff>455082</xdr:colOff>
      <xdr:row>718</xdr:row>
      <xdr:rowOff>2117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98</xdr:row>
      <xdr:rowOff>0</xdr:rowOff>
    </xdr:from>
    <xdr:to>
      <xdr:col>30</xdr:col>
      <xdr:colOff>95744</xdr:colOff>
      <xdr:row>101</xdr:row>
      <xdr:rowOff>171357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74935" y="18867783"/>
          <a:ext cx="15923809" cy="7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101</xdr:row>
      <xdr:rowOff>182217</xdr:rowOff>
    </xdr:from>
    <xdr:to>
      <xdr:col>30</xdr:col>
      <xdr:colOff>105268</xdr:colOff>
      <xdr:row>112</xdr:row>
      <xdr:rowOff>127271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74935" y="19621500"/>
          <a:ext cx="15933333" cy="22476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790575</xdr:colOff>
      <xdr:row>3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906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2905125</xdr:colOff>
      <xdr:row>0</xdr:row>
      <xdr:rowOff>0</xdr:rowOff>
    </xdr:from>
    <xdr:to>
      <xdr:col>2</xdr:col>
      <xdr:colOff>23495</xdr:colOff>
      <xdr:row>3</xdr:row>
      <xdr:rowOff>28575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0"/>
          <a:ext cx="3036570" cy="581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171450</xdr:colOff>
      <xdr:row>504</xdr:row>
      <xdr:rowOff>142875</xdr:rowOff>
    </xdr:from>
    <xdr:to>
      <xdr:col>11</xdr:col>
      <xdr:colOff>257175</xdr:colOff>
      <xdr:row>519</xdr:row>
      <xdr:rowOff>100853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5602</xdr:colOff>
      <xdr:row>689</xdr:row>
      <xdr:rowOff>146797</xdr:rowOff>
    </xdr:from>
    <xdr:to>
      <xdr:col>12</xdr:col>
      <xdr:colOff>425823</xdr:colOff>
      <xdr:row>704</xdr:row>
      <xdr:rowOff>32497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233362</xdr:colOff>
      <xdr:row>591</xdr:row>
      <xdr:rowOff>0</xdr:rowOff>
    </xdr:from>
    <xdr:to>
      <xdr:col>8</xdr:col>
      <xdr:colOff>233362</xdr:colOff>
      <xdr:row>605</xdr:row>
      <xdr:rowOff>66675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457200</xdr:colOff>
      <xdr:row>591</xdr:row>
      <xdr:rowOff>0</xdr:rowOff>
    </xdr:from>
    <xdr:to>
      <xdr:col>13</xdr:col>
      <xdr:colOff>457200</xdr:colOff>
      <xdr:row>605</xdr:row>
      <xdr:rowOff>66675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228600</xdr:colOff>
      <xdr:row>605</xdr:row>
      <xdr:rowOff>180975</xdr:rowOff>
    </xdr:from>
    <xdr:to>
      <xdr:col>8</xdr:col>
      <xdr:colOff>228600</xdr:colOff>
      <xdr:row>620</xdr:row>
      <xdr:rowOff>66675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457200</xdr:colOff>
      <xdr:row>605</xdr:row>
      <xdr:rowOff>171450</xdr:rowOff>
    </xdr:from>
    <xdr:to>
      <xdr:col>13</xdr:col>
      <xdr:colOff>457200</xdr:colOff>
      <xdr:row>620</xdr:row>
      <xdr:rowOff>57150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219075</xdr:colOff>
      <xdr:row>621</xdr:row>
      <xdr:rowOff>9525</xdr:rowOff>
    </xdr:from>
    <xdr:to>
      <xdr:col>8</xdr:col>
      <xdr:colOff>219075</xdr:colOff>
      <xdr:row>635</xdr:row>
      <xdr:rowOff>85725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447675</xdr:colOff>
      <xdr:row>621</xdr:row>
      <xdr:rowOff>0</xdr:rowOff>
    </xdr:from>
    <xdr:to>
      <xdr:col>13</xdr:col>
      <xdr:colOff>447675</xdr:colOff>
      <xdr:row>635</xdr:row>
      <xdr:rowOff>76200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238125</xdr:colOff>
      <xdr:row>636</xdr:row>
      <xdr:rowOff>28575</xdr:rowOff>
    </xdr:from>
    <xdr:to>
      <xdr:col>8</xdr:col>
      <xdr:colOff>238125</xdr:colOff>
      <xdr:row>650</xdr:row>
      <xdr:rowOff>104775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67486</xdr:colOff>
      <xdr:row>504</xdr:row>
      <xdr:rowOff>132337</xdr:rowOff>
    </xdr:from>
    <xdr:to>
      <xdr:col>15</xdr:col>
      <xdr:colOff>153211</xdr:colOff>
      <xdr:row>519</xdr:row>
      <xdr:rowOff>88289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455984</xdr:colOff>
      <xdr:row>636</xdr:row>
      <xdr:rowOff>10133</xdr:rowOff>
    </xdr:from>
    <xdr:to>
      <xdr:col>13</xdr:col>
      <xdr:colOff>455985</xdr:colOff>
      <xdr:row>650</xdr:row>
      <xdr:rowOff>86333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0</xdr:colOff>
      <xdr:row>739</xdr:row>
      <xdr:rowOff>0</xdr:rowOff>
    </xdr:from>
    <xdr:to>
      <xdr:col>10</xdr:col>
      <xdr:colOff>118961</xdr:colOff>
      <xdr:row>753</xdr:row>
      <xdr:rowOff>76200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0</xdr:colOff>
      <xdr:row>711</xdr:row>
      <xdr:rowOff>0</xdr:rowOff>
    </xdr:from>
    <xdr:to>
      <xdr:col>12</xdr:col>
      <xdr:colOff>420221</xdr:colOff>
      <xdr:row>725</xdr:row>
      <xdr:rowOff>78226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222926</xdr:colOff>
      <xdr:row>651</xdr:row>
      <xdr:rowOff>50665</xdr:rowOff>
    </xdr:from>
    <xdr:to>
      <xdr:col>8</xdr:col>
      <xdr:colOff>222926</xdr:colOff>
      <xdr:row>665</xdr:row>
      <xdr:rowOff>126865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455985</xdr:colOff>
      <xdr:row>651</xdr:row>
      <xdr:rowOff>60798</xdr:rowOff>
    </xdr:from>
    <xdr:to>
      <xdr:col>13</xdr:col>
      <xdr:colOff>455986</xdr:colOff>
      <xdr:row>665</xdr:row>
      <xdr:rowOff>136998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233059</xdr:colOff>
      <xdr:row>666</xdr:row>
      <xdr:rowOff>111463</xdr:rowOff>
    </xdr:from>
    <xdr:to>
      <xdr:col>8</xdr:col>
      <xdr:colOff>233059</xdr:colOff>
      <xdr:row>680</xdr:row>
      <xdr:rowOff>187664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96160</xdr:colOff>
      <xdr:row>757</xdr:row>
      <xdr:rowOff>0</xdr:rowOff>
    </xdr:from>
    <xdr:to>
      <xdr:col>9</xdr:col>
      <xdr:colOff>609600</xdr:colOff>
      <xdr:row>771</xdr:row>
      <xdr:rowOff>66675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110448</xdr:colOff>
      <xdr:row>756</xdr:row>
      <xdr:rowOff>171450</xdr:rowOff>
    </xdr:from>
    <xdr:to>
      <xdr:col>16</xdr:col>
      <xdr:colOff>623888</xdr:colOff>
      <xdr:row>771</xdr:row>
      <xdr:rowOff>57150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128282</xdr:colOff>
      <xdr:row>771</xdr:row>
      <xdr:rowOff>162533</xdr:rowOff>
    </xdr:from>
    <xdr:to>
      <xdr:col>16</xdr:col>
      <xdr:colOff>641723</xdr:colOff>
      <xdr:row>786</xdr:row>
      <xdr:rowOff>48233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104774</xdr:colOff>
      <xdr:row>771</xdr:row>
      <xdr:rowOff>164965</xdr:rowOff>
    </xdr:from>
    <xdr:to>
      <xdr:col>9</xdr:col>
      <xdr:colOff>618214</xdr:colOff>
      <xdr:row>786</xdr:row>
      <xdr:rowOff>50665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0</xdr:colOff>
      <xdr:row>801</xdr:row>
      <xdr:rowOff>0</xdr:rowOff>
    </xdr:from>
    <xdr:to>
      <xdr:col>10</xdr:col>
      <xdr:colOff>118961</xdr:colOff>
      <xdr:row>815</xdr:row>
      <xdr:rowOff>76200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14</xdr:col>
      <xdr:colOff>359834</xdr:colOff>
      <xdr:row>504</xdr:row>
      <xdr:rowOff>148166</xdr:rowOff>
    </xdr:from>
    <xdr:to>
      <xdr:col>18</xdr:col>
      <xdr:colOff>593726</xdr:colOff>
      <xdr:row>519</xdr:row>
      <xdr:rowOff>104118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0</xdr:colOff>
      <xdr:row>12</xdr:row>
      <xdr:rowOff>0</xdr:rowOff>
    </xdr:from>
    <xdr:to>
      <xdr:col>29</xdr:col>
      <xdr:colOff>328084</xdr:colOff>
      <xdr:row>26</xdr:row>
      <xdr:rowOff>76200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0</xdr:colOff>
      <xdr:row>287</xdr:row>
      <xdr:rowOff>0</xdr:rowOff>
    </xdr:from>
    <xdr:to>
      <xdr:col>24</xdr:col>
      <xdr:colOff>0</xdr:colOff>
      <xdr:row>301</xdr:row>
      <xdr:rowOff>12700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20</xdr:col>
      <xdr:colOff>0</xdr:colOff>
      <xdr:row>25</xdr:row>
      <xdr:rowOff>0</xdr:rowOff>
    </xdr:from>
    <xdr:to>
      <xdr:col>26</xdr:col>
      <xdr:colOff>0</xdr:colOff>
      <xdr:row>39</xdr:row>
      <xdr:rowOff>76200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20</xdr:col>
      <xdr:colOff>0</xdr:colOff>
      <xdr:row>61</xdr:row>
      <xdr:rowOff>0</xdr:rowOff>
    </xdr:from>
    <xdr:to>
      <xdr:col>26</xdr:col>
      <xdr:colOff>0</xdr:colOff>
      <xdr:row>75</xdr:row>
      <xdr:rowOff>76200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20</xdr:col>
      <xdr:colOff>0</xdr:colOff>
      <xdr:row>77</xdr:row>
      <xdr:rowOff>0</xdr:rowOff>
    </xdr:from>
    <xdr:to>
      <xdr:col>26</xdr:col>
      <xdr:colOff>0</xdr:colOff>
      <xdr:row>91</xdr:row>
      <xdr:rowOff>76200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rge%20Arango/Documents/My%20Dropbox/Proyectos%20activos/Luque%20medina/Estimaci&#243;n%20de%20Valor%20LM%20V1%20(Copia%20en%20conflicto%20de%20Mainframe%202015-06-30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rge/Dropbox/Proyectos%20activos/Visi&#243;n/Auditor&#237;a%20ambiental/Ambientales%20V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rge\Dropbox\Proyectos%20activos\Visi&#243;n\Auditor&#237;a%20ambiental\Ambientales%20V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Proyectos%20activos/SAVIA/Actualizaci&#243;n%20Modelo%20201812/Modelo%20Financiero%20Savia%20Salud%20EPS%20V2.%2017-12-2018%20para%20SN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wnloads/Informaci&#243;n%20Financiera%20-%20noviembre%20de%20%202018-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Proyectos%20activos/SAVIA/Modelo%20Financiero%20Savia%20Salud%20EPS%20V.%2004-04-2018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D"/>
      <sheetName val="EST"/>
      <sheetName val="Base de Datos"/>
      <sheetName val="EST (2)"/>
    </sheetNames>
    <sheetDataSet>
      <sheetData sheetId="0" refreshError="1"/>
      <sheetData sheetId="1">
        <row r="47">
          <cell r="F47">
            <v>3287308421.0167689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"/>
      <sheetName val="PRY"/>
      <sheetName val="DR"/>
      <sheetName val="MM"/>
      <sheetName val="GRP"/>
      <sheetName val="Backlog"/>
    </sheetNames>
    <sheetDataSet>
      <sheetData sheetId="0">
        <row r="19">
          <cell r="A19">
            <v>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"/>
      <sheetName val="PRY"/>
      <sheetName val="DR"/>
      <sheetName val="MM"/>
      <sheetName val="GRP"/>
      <sheetName val="Backlog"/>
    </sheetNames>
    <sheetDataSet>
      <sheetData sheetId="0">
        <row r="19">
          <cell r="A19">
            <v>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OBLACIÓN"/>
      <sheetName val="INGRESOS"/>
      <sheetName val="COSTOS"/>
      <sheetName val="ESC FINANCIERO"/>
      <sheetName val="ANÁLISIS "/>
      <sheetName val="REDISTRIBUCION DE RECURSOS "/>
      <sheetName val="ACTIVOS"/>
      <sheetName val="CUENTAS POR PAGAR"/>
      <sheetName val="FLUJO DE EFECTIVO"/>
      <sheetName val="PYG"/>
      <sheetName val="BALANCE"/>
      <sheetName val="Aux DEPTO IDEA"/>
      <sheetName val="Aux Resumen"/>
      <sheetName val="Aux Defecto SUPER"/>
      <sheetName val="Aux Defecto SUPER (2)"/>
      <sheetName val="Aux Defecto SUPER3"/>
    </sheetNames>
    <sheetDataSet>
      <sheetData sheetId="0"/>
      <sheetData sheetId="1"/>
      <sheetData sheetId="2">
        <row r="39">
          <cell r="F39">
            <v>1595648.1077999996</v>
          </cell>
        </row>
        <row r="93">
          <cell r="F93">
            <v>109627.33837356011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I5">
            <v>65462849.876414672</v>
          </cell>
        </row>
        <row r="19">
          <cell r="I19">
            <v>-44932516.712716997</v>
          </cell>
        </row>
        <row r="23">
          <cell r="I23">
            <v>-1564816595.0804119</v>
          </cell>
        </row>
        <row r="28">
          <cell r="I28">
            <v>-71203484.100972429</v>
          </cell>
          <cell r="J28">
            <v>-75932450.54001537</v>
          </cell>
          <cell r="K28">
            <v>-79248946.849547192</v>
          </cell>
          <cell r="L28">
            <v>-81554212.680696383</v>
          </cell>
          <cell r="M28">
            <v>-83872626.943133816</v>
          </cell>
          <cell r="N28">
            <v>-86175395.459385872</v>
          </cell>
          <cell r="O28">
            <v>-88496626.981949553</v>
          </cell>
          <cell r="P28">
            <v>-90813174.44582285</v>
          </cell>
          <cell r="Q28">
            <v>-93493269.458709747</v>
          </cell>
          <cell r="R28">
            <v>-95788808.533103719</v>
          </cell>
          <cell r="S28">
            <v>-98360452.187581718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ESFI"/>
      <sheetName val="ERI"/>
      <sheetName val="ERI "/>
      <sheetName val="Afiliados noviembre 2018"/>
      <sheetName val="Comportamiento afiliados"/>
      <sheetName val="Rest-LMA-UPC-Cont"/>
      <sheetName val="EBITDA"/>
      <sheetName val="Ejec Pptal"/>
      <sheetName val="Detalle de afiliados"/>
      <sheetName val="ERI  (2)"/>
    </sheetNames>
    <sheetDataSet>
      <sheetData sheetId="0"/>
      <sheetData sheetId="1"/>
      <sheetData sheetId="2"/>
      <sheetData sheetId="3">
        <row r="11">
          <cell r="B11">
            <v>-62351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OBLACIÓN"/>
      <sheetName val="INGRESOS"/>
      <sheetName val="COSTOS"/>
      <sheetName val="ESC FINANCIERO"/>
      <sheetName val="ANÁLISIS "/>
      <sheetName val="REDISTRIBUCION DE RECURSOS "/>
      <sheetName val="ACTIVOS"/>
      <sheetName val="CUENTAS POR PAGAR"/>
      <sheetName val="FLUJO DE EFECTIVO"/>
      <sheetName val="PYG"/>
      <sheetName val="BALANCE"/>
      <sheetName val="Aux DEPTO IDEA"/>
      <sheetName val="Aux Resumen"/>
      <sheetName val="Aux Defecto SUPER"/>
      <sheetName val="Aux Defecto SUPER (2)"/>
      <sheetName val="Aux Defecto SUPER3"/>
      <sheetName val="CAPITALIZACIONES"/>
    </sheetNames>
    <sheetDataSet>
      <sheetData sheetId="0"/>
      <sheetData sheetId="1"/>
      <sheetData sheetId="2">
        <row r="5">
          <cell r="F5">
            <v>1670193.5613694326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6">
          <cell r="I16">
            <v>1526718176.0181596</v>
          </cell>
        </row>
        <row r="51">
          <cell r="I51">
            <v>-53821915.490690388</v>
          </cell>
          <cell r="J51">
            <v>-11208870.384579824</v>
          </cell>
          <cell r="K51">
            <v>-5874159.156390138</v>
          </cell>
          <cell r="L51">
            <v>-2459851.4252180588</v>
          </cell>
          <cell r="M51">
            <v>1045113.8870864399</v>
          </cell>
          <cell r="N51">
            <v>5946586.6864957567</v>
          </cell>
          <cell r="O51">
            <v>7367180.4637424257</v>
          </cell>
          <cell r="P51">
            <v>1719010.0543981735</v>
          </cell>
        </row>
      </sheetData>
      <sheetData sheetId="11">
        <row r="6">
          <cell r="H6">
            <v>-183083237.75644955</v>
          </cell>
          <cell r="I6">
            <v>-52521558.015129387</v>
          </cell>
          <cell r="J6">
            <v>64805348.699728668</v>
          </cell>
          <cell r="K6">
            <v>178822791.55948552</v>
          </cell>
          <cell r="L6">
            <v>281483111.37093043</v>
          </cell>
          <cell r="M6">
            <v>383528704.51648688</v>
          </cell>
          <cell r="N6">
            <v>486221424.31967229</v>
          </cell>
          <cell r="O6">
            <v>502007292.83252645</v>
          </cell>
        </row>
        <row r="29">
          <cell r="H29">
            <v>-336689233.61974716</v>
          </cell>
          <cell r="I29">
            <v>-225751658.10047364</v>
          </cell>
          <cell r="J29">
            <v>-135288739.97928274</v>
          </cell>
          <cell r="K29">
            <v>-46475112.10024035</v>
          </cell>
          <cell r="L29">
            <v>42358742.550748706</v>
          </cell>
          <cell r="M29">
            <v>131057561.18257391</v>
          </cell>
          <cell r="N29">
            <v>219798932.29979455</v>
          </cell>
          <cell r="O29">
            <v>223618872.1713891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N166"/>
  <sheetViews>
    <sheetView showGridLines="0" topLeftCell="A76" zoomScale="90" zoomScaleNormal="90" workbookViewId="0">
      <selection activeCell="A158" sqref="A158"/>
    </sheetView>
  </sheetViews>
  <sheetFormatPr baseColWidth="10" defaultColWidth="11.42578125" defaultRowHeight="15" outlineLevelRow="1" x14ac:dyDescent="0.25"/>
  <cols>
    <col min="1" max="1" width="34.28515625" customWidth="1"/>
    <col min="2" max="2" width="11.42578125" customWidth="1"/>
    <col min="4" max="4" width="12.85546875" bestFit="1" customWidth="1"/>
  </cols>
  <sheetData>
    <row r="1" spans="1:14" x14ac:dyDescent="0.25">
      <c r="A1" s="2" t="s">
        <v>0</v>
      </c>
      <c r="C1" s="9"/>
    </row>
    <row r="2" spans="1:14" outlineLevel="1" x14ac:dyDescent="0.25">
      <c r="A2" s="2" t="s">
        <v>23</v>
      </c>
      <c r="C2" s="9"/>
      <c r="D2" s="9"/>
    </row>
    <row r="3" spans="1:14" outlineLevel="1" x14ac:dyDescent="0.25">
      <c r="A3" s="2" t="s">
        <v>1</v>
      </c>
    </row>
    <row r="4" spans="1:14" outlineLevel="1" x14ac:dyDescent="0.25">
      <c r="A4" s="1" t="s">
        <v>988</v>
      </c>
    </row>
    <row r="5" spans="1:14" x14ac:dyDescent="0.25">
      <c r="L5" s="110"/>
    </row>
    <row r="6" spans="1:14" ht="15.75" thickBot="1" x14ac:dyDescent="0.3">
      <c r="A6" s="2" t="s">
        <v>1360</v>
      </c>
      <c r="B6" s="110" t="s">
        <v>1471</v>
      </c>
      <c r="D6" s="273">
        <v>0</v>
      </c>
      <c r="E6" s="110" t="s">
        <v>1583</v>
      </c>
      <c r="G6" s="273">
        <v>0</v>
      </c>
      <c r="H6" s="110" t="s">
        <v>1584</v>
      </c>
      <c r="J6" s="326">
        <v>0</v>
      </c>
      <c r="L6" s="109"/>
      <c r="N6" s="9"/>
    </row>
    <row r="7" spans="1:14" ht="15.75" thickBot="1" x14ac:dyDescent="0.3">
      <c r="A7" s="16" t="s">
        <v>1477</v>
      </c>
      <c r="B7" s="110" t="s">
        <v>1483</v>
      </c>
      <c r="D7" s="283">
        <v>2.5</v>
      </c>
      <c r="E7" s="110" t="s">
        <v>1521</v>
      </c>
      <c r="G7" s="303">
        <v>56</v>
      </c>
      <c r="H7" s="110" t="s">
        <v>1580</v>
      </c>
      <c r="J7" s="326">
        <v>0</v>
      </c>
      <c r="L7" s="109"/>
      <c r="N7" s="9"/>
    </row>
    <row r="8" spans="1:14" x14ac:dyDescent="0.25">
      <c r="L8" s="109"/>
      <c r="N8" s="9"/>
    </row>
    <row r="9" spans="1:14" x14ac:dyDescent="0.25">
      <c r="L9" s="109"/>
      <c r="N9" s="1"/>
    </row>
    <row r="10" spans="1:14" x14ac:dyDescent="0.25">
      <c r="L10" s="109"/>
      <c r="N10" s="9"/>
    </row>
    <row r="11" spans="1:14" x14ac:dyDescent="0.25">
      <c r="L11" s="109"/>
    </row>
    <row r="25" spans="1:13" s="16" customFormat="1" x14ac:dyDescent="0.25">
      <c r="A25" s="16" t="s">
        <v>19</v>
      </c>
      <c r="B25" s="3" t="str">
        <f>+PRY!G6</f>
        <v xml:space="preserve">2018 </v>
      </c>
      <c r="C25" s="3" t="str">
        <f>+PRY!H6</f>
        <v xml:space="preserve">2019 </v>
      </c>
      <c r="D25" s="3" t="str">
        <f>+PRY!I6</f>
        <v>2020 P</v>
      </c>
      <c r="E25" s="3" t="str">
        <f>+PRY!J6</f>
        <v>2021 P</v>
      </c>
      <c r="F25" s="3" t="str">
        <f>+PRY!K6</f>
        <v>2022 P</v>
      </c>
      <c r="G25" s="3" t="str">
        <f>+PRY!L6</f>
        <v>2023 P</v>
      </c>
      <c r="H25" s="3" t="str">
        <f>+PRY!M6</f>
        <v>2024 P</v>
      </c>
      <c r="I25" s="3" t="str">
        <f>+PRY!N6</f>
        <v>2025 P</v>
      </c>
      <c r="J25" s="3" t="str">
        <f>+PRY!O6</f>
        <v>2026 P</v>
      </c>
      <c r="K25" s="3" t="str">
        <f>+PRY!P6</f>
        <v>2027 P</v>
      </c>
      <c r="L25" s="3" t="str">
        <f>+PRY!Q6</f>
        <v>2028 P</v>
      </c>
      <c r="M25" s="2"/>
    </row>
    <row r="26" spans="1:13" x14ac:dyDescent="0.25">
      <c r="A26" t="s">
        <v>1527</v>
      </c>
      <c r="B26" s="9">
        <f>+PRY!G164</f>
        <v>22094277767.984261</v>
      </c>
      <c r="C26" s="9">
        <f>+PRY!H164</f>
        <v>157251022118.22336</v>
      </c>
      <c r="D26" s="9">
        <f>+PRY!I164</f>
        <v>34686300417.868393</v>
      </c>
      <c r="E26" s="9">
        <f>+PRY!J164</f>
        <v>86127090969.606995</v>
      </c>
      <c r="F26" s="9">
        <f>+PRY!K164</f>
        <v>57968479486.97406</v>
      </c>
      <c r="G26" s="9">
        <f>+PRY!L164</f>
        <v>174937133149.7803</v>
      </c>
      <c r="H26" s="9">
        <f>+PRY!M164</f>
        <v>74214751903.050949</v>
      </c>
      <c r="I26" s="9">
        <f>+PRY!N164</f>
        <v>99671114091.086182</v>
      </c>
      <c r="J26" s="9">
        <f>+PRY!O164</f>
        <v>114284988504.27159</v>
      </c>
      <c r="K26" s="9">
        <f>+PRY!P164</f>
        <v>120300305698.84825</v>
      </c>
      <c r="L26" s="9">
        <f>+PRY!Q164</f>
        <v>534868529740.0108</v>
      </c>
    </row>
    <row r="27" spans="1:13" x14ac:dyDescent="0.25">
      <c r="A27" t="s">
        <v>1528</v>
      </c>
      <c r="B27" s="9">
        <f>+PRY!G166</f>
        <v>22094277767.984261</v>
      </c>
      <c r="C27" s="9">
        <f>+PRY!H166</f>
        <v>134206793450.07011</v>
      </c>
      <c r="D27" s="9">
        <f>+PRY!I166</f>
        <v>25265042161.35981</v>
      </c>
      <c r="E27" s="9">
        <f>+PRY!J166</f>
        <v>53540552427.477188</v>
      </c>
      <c r="F27" s="9">
        <f>+PRY!K166</f>
        <v>30755019109.104534</v>
      </c>
      <c r="G27" s="9">
        <f>+PRY!L166</f>
        <v>79211296252.905563</v>
      </c>
      <c r="H27" s="9">
        <f>+PRY!M166</f>
        <v>28679817160.780857</v>
      </c>
      <c r="I27" s="9">
        <f>+PRY!N166</f>
        <v>32872783090.99929</v>
      </c>
      <c r="J27" s="9">
        <f>+PRY!O166</f>
        <v>32168986125.115639</v>
      </c>
      <c r="K27" s="9">
        <f>+PRY!P166</f>
        <v>28899873278.376518</v>
      </c>
      <c r="L27" s="9">
        <f>+PRY!Q166</f>
        <v>109662281352.4084</v>
      </c>
    </row>
    <row r="28" spans="1:13" s="16" customFormat="1" x14ac:dyDescent="0.25">
      <c r="A28" s="16" t="s">
        <v>1529</v>
      </c>
      <c r="B28" s="12">
        <f>SUM(B27:L27)</f>
        <v>577356722176.58215</v>
      </c>
    </row>
    <row r="74" spans="1:9" s="242" customFormat="1" ht="30" x14ac:dyDescent="0.25">
      <c r="A74" s="241" t="s">
        <v>1363</v>
      </c>
      <c r="B74" s="241"/>
      <c r="C74" s="243" t="s">
        <v>1364</v>
      </c>
      <c r="D74" s="243" t="s">
        <v>1365</v>
      </c>
      <c r="E74" s="243" t="s">
        <v>1370</v>
      </c>
      <c r="F74" s="243" t="s">
        <v>1366</v>
      </c>
      <c r="G74" s="243" t="s">
        <v>1367</v>
      </c>
      <c r="H74" s="243" t="s">
        <v>1368</v>
      </c>
    </row>
    <row r="75" spans="1:9" s="240" customFormat="1" x14ac:dyDescent="0.25">
      <c r="A75" s="495" t="s">
        <v>1362</v>
      </c>
      <c r="B75" s="493" t="s">
        <v>11</v>
      </c>
      <c r="C75" s="493">
        <f>+PRY!G170</f>
        <v>577356722176.58215</v>
      </c>
      <c r="D75" s="493">
        <f>+PRY!G174</f>
        <v>-238784473206.29163</v>
      </c>
      <c r="E75" s="493">
        <f>+C75+D75</f>
        <v>338572248970.29053</v>
      </c>
      <c r="F75" s="493">
        <f>+PRY!G184</f>
        <v>0</v>
      </c>
      <c r="G75" s="493">
        <f>+PRY!G187</f>
        <v>0</v>
      </c>
      <c r="H75" s="493">
        <f>+E75+F75+G75</f>
        <v>338572248970.29053</v>
      </c>
      <c r="I75" s="494"/>
    </row>
    <row r="76" spans="1:9" s="240" customFormat="1" x14ac:dyDescent="0.25">
      <c r="A76" s="495"/>
      <c r="B76" s="493"/>
      <c r="C76" s="493"/>
      <c r="D76" s="493"/>
      <c r="E76" s="493"/>
      <c r="F76" s="493"/>
      <c r="G76" s="493"/>
      <c r="H76" s="493"/>
      <c r="I76" s="494"/>
    </row>
    <row r="77" spans="1:9" s="248" customFormat="1" x14ac:dyDescent="0.25">
      <c r="A77" s="244" t="s">
        <v>1371</v>
      </c>
      <c r="B77" s="245"/>
      <c r="C77" s="245"/>
      <c r="D77" s="245"/>
      <c r="E77" s="246">
        <f>+PRY!G171</f>
        <v>81852</v>
      </c>
      <c r="F77" s="246">
        <f>+F75/E78</f>
        <v>0</v>
      </c>
      <c r="G77" s="246">
        <f>+G75/E78</f>
        <v>0</v>
      </c>
      <c r="H77" s="246">
        <f>+SUM(E77:G77)</f>
        <v>81852</v>
      </c>
      <c r="I77" s="247"/>
    </row>
    <row r="78" spans="1:9" s="248" customFormat="1" x14ac:dyDescent="0.25">
      <c r="A78" s="244" t="s">
        <v>1369</v>
      </c>
      <c r="B78" s="245" t="s">
        <v>5</v>
      </c>
      <c r="C78" s="245"/>
      <c r="D78" s="245"/>
      <c r="E78" s="246">
        <f>+E75/E77</f>
        <v>4136395.555029694</v>
      </c>
      <c r="F78" s="246">
        <f>+SUM(E75:F76)/SUM(E77:F77)</f>
        <v>4136395.555029694</v>
      </c>
      <c r="G78" s="246">
        <f>+SUM(E75:G76)/SUM(E77:G77)</f>
        <v>4136395.555029694</v>
      </c>
      <c r="H78" s="246"/>
      <c r="I78" s="247"/>
    </row>
    <row r="79" spans="1:9" s="248" customFormat="1" x14ac:dyDescent="0.25">
      <c r="A79" s="244" t="s">
        <v>1372</v>
      </c>
      <c r="B79" s="245" t="s">
        <v>12</v>
      </c>
      <c r="C79" s="245"/>
      <c r="D79" s="245"/>
      <c r="E79" s="249">
        <f>+E75/$H$75</f>
        <v>1</v>
      </c>
      <c r="F79" s="249">
        <f>+F75/$H$75</f>
        <v>0</v>
      </c>
      <c r="G79" s="249">
        <f>+G75/$H$75</f>
        <v>0</v>
      </c>
      <c r="H79" s="249">
        <f>+H75/$H$75</f>
        <v>1</v>
      </c>
      <c r="I79" s="247"/>
    </row>
    <row r="81" spans="1:13" x14ac:dyDescent="0.25">
      <c r="A81" s="2" t="s">
        <v>24</v>
      </c>
      <c r="B81" s="2" t="s">
        <v>2</v>
      </c>
      <c r="C81" s="3"/>
      <c r="D81" s="304" t="s">
        <v>1484</v>
      </c>
      <c r="E81" s="304" t="s">
        <v>1485</v>
      </c>
      <c r="F81" s="304" t="s">
        <v>1486</v>
      </c>
      <c r="G81" s="304" t="s">
        <v>1487</v>
      </c>
      <c r="H81" s="304" t="s">
        <v>1488</v>
      </c>
      <c r="I81" s="304" t="s">
        <v>1522</v>
      </c>
      <c r="J81" s="304" t="s">
        <v>1523</v>
      </c>
      <c r="K81" s="304" t="s">
        <v>1524</v>
      </c>
      <c r="L81" s="304" t="s">
        <v>1525</v>
      </c>
      <c r="M81" s="304" t="s">
        <v>1526</v>
      </c>
    </row>
    <row r="82" spans="1:13" outlineLevel="1" x14ac:dyDescent="0.25"/>
    <row r="83" spans="1:13" outlineLevel="1" x14ac:dyDescent="0.25">
      <c r="A83" s="1" t="s">
        <v>13</v>
      </c>
      <c r="B83" s="1"/>
      <c r="C83" s="1"/>
      <c r="D83" s="11">
        <f t="shared" ref="D83:M83" si="0">IF($A$158=1,D110,IF($A$158=2,D121,IF($A$158=3,D132,D143)))</f>
        <v>1.0204283615122978</v>
      </c>
      <c r="E83" s="11">
        <f t="shared" si="0"/>
        <v>0.98997843307571454</v>
      </c>
      <c r="F83" s="11">
        <f t="shared" si="0"/>
        <v>0.96991629513569566</v>
      </c>
      <c r="G83" s="11">
        <f t="shared" si="0"/>
        <v>0.95041794964521542</v>
      </c>
      <c r="H83" s="11">
        <f t="shared" si="0"/>
        <v>0.92989067763719147</v>
      </c>
      <c r="I83" s="11">
        <f t="shared" si="0"/>
        <v>0.92989067763719147</v>
      </c>
      <c r="J83" s="11">
        <f t="shared" si="0"/>
        <v>0.92989067763719147</v>
      </c>
      <c r="K83" s="11">
        <f t="shared" si="0"/>
        <v>0.92989067763719147</v>
      </c>
      <c r="L83" s="11">
        <f t="shared" si="0"/>
        <v>0.92989067763719147</v>
      </c>
      <c r="M83" s="11">
        <f t="shared" si="0"/>
        <v>0.92989067763719147</v>
      </c>
    </row>
    <row r="84" spans="1:13" outlineLevel="1" x14ac:dyDescent="0.25">
      <c r="A84" s="1" t="s">
        <v>4</v>
      </c>
      <c r="B84" s="1" t="s">
        <v>22</v>
      </c>
      <c r="C84" s="11"/>
      <c r="D84" s="11">
        <f t="shared" ref="D84:M84" si="1">IF($A$158=1,D111,IF($A$158=2,D122,IF($A$158=3,D133,D144)))</f>
        <v>0</v>
      </c>
      <c r="E84" s="11">
        <f t="shared" si="1"/>
        <v>0</v>
      </c>
      <c r="F84" s="11">
        <f t="shared" si="1"/>
        <v>0</v>
      </c>
      <c r="G84" s="11">
        <f t="shared" si="1"/>
        <v>0</v>
      </c>
      <c r="H84" s="11">
        <f t="shared" si="1"/>
        <v>0</v>
      </c>
      <c r="I84" s="11">
        <f t="shared" si="1"/>
        <v>0</v>
      </c>
      <c r="J84" s="11">
        <f t="shared" si="1"/>
        <v>0</v>
      </c>
      <c r="K84" s="11">
        <f t="shared" si="1"/>
        <v>0</v>
      </c>
      <c r="L84" s="11">
        <f t="shared" si="1"/>
        <v>0</v>
      </c>
      <c r="M84" s="11">
        <f t="shared" si="1"/>
        <v>0</v>
      </c>
    </row>
    <row r="85" spans="1:13" outlineLevel="1" x14ac:dyDescent="0.25">
      <c r="A85" s="1"/>
      <c r="B85" s="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 outlineLevel="1" x14ac:dyDescent="0.25">
      <c r="A86" s="1" t="s">
        <v>1123</v>
      </c>
      <c r="B86" s="1" t="s">
        <v>18</v>
      </c>
      <c r="C86" s="11"/>
      <c r="D86" s="324">
        <f>IF($A$158=1,D113,IF($A$158=2,D124,IF($A$158=3,D135,D146)))</f>
        <v>56</v>
      </c>
      <c r="E86" s="324">
        <f>IF($A$158=1,E113,IF($A$158=2,E124,IF($A$158=3,E135,E146)))</f>
        <v>56</v>
      </c>
      <c r="F86" s="324">
        <f t="shared" ref="F86:M86" si="2">IF($A$158=1,F113,IF($A$158=2,F124,IF($A$158=3,F135,F146)))</f>
        <v>50</v>
      </c>
      <c r="G86" s="324">
        <f t="shared" si="2"/>
        <v>45</v>
      </c>
      <c r="H86" s="324">
        <f t="shared" si="2"/>
        <v>40</v>
      </c>
      <c r="I86" s="324">
        <f t="shared" si="2"/>
        <v>35</v>
      </c>
      <c r="J86" s="324">
        <f t="shared" si="2"/>
        <v>35</v>
      </c>
      <c r="K86" s="324">
        <f t="shared" si="2"/>
        <v>35</v>
      </c>
      <c r="L86" s="324">
        <f t="shared" si="2"/>
        <v>35</v>
      </c>
      <c r="M86" s="324">
        <f t="shared" si="2"/>
        <v>35</v>
      </c>
    </row>
    <row r="87" spans="1:13" outlineLevel="1" x14ac:dyDescent="0.25">
      <c r="A87" s="1" t="s">
        <v>1135</v>
      </c>
      <c r="B87" s="1" t="s">
        <v>18</v>
      </c>
      <c r="C87" s="11"/>
      <c r="D87" s="223">
        <f t="shared" ref="D87:M87" si="3">IF($A$158=1,D114,IF($A$158=2,D125,IF($A$158=3,D136,D147)))</f>
        <v>187</v>
      </c>
      <c r="E87" s="223">
        <f t="shared" si="3"/>
        <v>187</v>
      </c>
      <c r="F87" s="223">
        <f t="shared" si="3"/>
        <v>187</v>
      </c>
      <c r="G87" s="223">
        <f t="shared" si="3"/>
        <v>187</v>
      </c>
      <c r="H87" s="223">
        <f t="shared" si="3"/>
        <v>187</v>
      </c>
      <c r="I87" s="223">
        <f t="shared" si="3"/>
        <v>187</v>
      </c>
      <c r="J87" s="223">
        <f t="shared" si="3"/>
        <v>187</v>
      </c>
      <c r="K87" s="223">
        <f t="shared" si="3"/>
        <v>187</v>
      </c>
      <c r="L87" s="223">
        <f t="shared" si="3"/>
        <v>187</v>
      </c>
      <c r="M87" s="223">
        <f t="shared" si="3"/>
        <v>187</v>
      </c>
    </row>
    <row r="88" spans="1:13" outlineLevel="1" x14ac:dyDescent="0.25">
      <c r="A88" s="1" t="s">
        <v>1327</v>
      </c>
      <c r="B88" s="6" t="s">
        <v>12</v>
      </c>
      <c r="C88" s="11"/>
      <c r="D88" s="11">
        <f>IF($A$158=1,D115,IF($A$158=2,D126,IF($A$158=3,D137,D148)))</f>
        <v>0</v>
      </c>
      <c r="E88" s="223"/>
      <c r="F88" s="223"/>
      <c r="G88" s="223"/>
      <c r="H88" s="223"/>
      <c r="I88" s="223"/>
      <c r="J88" s="223"/>
      <c r="K88" s="223"/>
      <c r="L88" s="223"/>
      <c r="M88" s="223"/>
    </row>
    <row r="89" spans="1:13" outlineLevel="1" x14ac:dyDescent="0.25">
      <c r="A89" s="1" t="s">
        <v>1427</v>
      </c>
      <c r="B89" s="6" t="s">
        <v>12</v>
      </c>
      <c r="C89" s="11"/>
      <c r="D89" s="11">
        <f>IF($A$158=1,D116,IF($A$158=2,D127,IF($A$158=3,D138,D149)))</f>
        <v>0</v>
      </c>
      <c r="E89" s="223"/>
      <c r="F89" s="223"/>
      <c r="G89" s="223"/>
      <c r="H89" s="223"/>
      <c r="I89" s="223"/>
      <c r="J89" s="223"/>
      <c r="K89" s="223"/>
      <c r="L89" s="223"/>
      <c r="M89" s="223"/>
    </row>
    <row r="90" spans="1:13" outlineLevel="1" x14ac:dyDescent="0.25">
      <c r="A90" s="1" t="s">
        <v>1332</v>
      </c>
      <c r="B90" s="6" t="s">
        <v>11</v>
      </c>
      <c r="C90" s="11"/>
      <c r="D90" s="103">
        <f>IF($A$158=1,D117,IF($A$158=2,D128,IF($A$158=3,D139,D150)))</f>
        <v>0</v>
      </c>
      <c r="E90" s="258"/>
      <c r="F90" s="103"/>
      <c r="G90" s="103"/>
      <c r="H90" s="103"/>
      <c r="I90" s="103"/>
      <c r="J90" s="223"/>
      <c r="K90" s="223"/>
      <c r="L90" s="223"/>
      <c r="M90" s="223"/>
    </row>
    <row r="91" spans="1:13" outlineLevel="1" x14ac:dyDescent="0.25">
      <c r="A91" s="1"/>
      <c r="B91" s="6" t="s">
        <v>11</v>
      </c>
      <c r="C91" s="11"/>
      <c r="D91" s="103">
        <f>IF($A$158=1,D118,IF($A$158=2,D129,IF($A$158=3,D140,D151)))</f>
        <v>0</v>
      </c>
      <c r="E91" s="223"/>
      <c r="F91" s="223"/>
      <c r="G91" s="223"/>
      <c r="H91" s="223"/>
      <c r="I91" s="223"/>
      <c r="J91" s="223"/>
      <c r="K91" s="223"/>
      <c r="L91" s="223"/>
      <c r="M91" s="223"/>
    </row>
    <row r="92" spans="1:13" outlineLevel="1" x14ac:dyDescent="0.25"/>
    <row r="93" spans="1:13" outlineLevel="1" x14ac:dyDescent="0.25">
      <c r="A93" s="1" t="s">
        <v>3</v>
      </c>
      <c r="B93" s="1" t="s">
        <v>20</v>
      </c>
      <c r="C93" s="223">
        <f>+AFI!C133</f>
        <v>1692712.85</v>
      </c>
    </row>
    <row r="94" spans="1:13" outlineLevel="1" x14ac:dyDescent="0.25">
      <c r="A94" s="1" t="s">
        <v>7</v>
      </c>
      <c r="B94" s="1"/>
      <c r="C94" s="1"/>
    </row>
    <row r="95" spans="1:13" outlineLevel="1" x14ac:dyDescent="0.25">
      <c r="A95" s="4" t="s">
        <v>10</v>
      </c>
      <c r="B95" s="1" t="s">
        <v>12</v>
      </c>
      <c r="C95" s="11">
        <f>+AFI!F128</f>
        <v>0.38072951948110983</v>
      </c>
    </row>
    <row r="96" spans="1:13" outlineLevel="1" x14ac:dyDescent="0.25">
      <c r="A96" s="4" t="s">
        <v>8</v>
      </c>
      <c r="B96" s="1" t="s">
        <v>12</v>
      </c>
      <c r="C96" s="11">
        <f>+AFI!F129</f>
        <v>0.16630682516529605</v>
      </c>
    </row>
    <row r="97" spans="1:13" outlineLevel="1" x14ac:dyDescent="0.25">
      <c r="A97" s="4" t="s">
        <v>9</v>
      </c>
      <c r="B97" s="1" t="s">
        <v>12</v>
      </c>
      <c r="C97" s="11">
        <f>+AFI!F130</f>
        <v>6.5011115145725981E-2</v>
      </c>
    </row>
    <row r="98" spans="1:13" outlineLevel="1" x14ac:dyDescent="0.25">
      <c r="A98" s="4" t="s">
        <v>1308</v>
      </c>
      <c r="B98" s="1" t="s">
        <v>12</v>
      </c>
      <c r="C98" s="11">
        <f>+AFI!F131</f>
        <v>6.7628127239655556E-2</v>
      </c>
    </row>
    <row r="99" spans="1:13" outlineLevel="1" x14ac:dyDescent="0.25">
      <c r="A99" s="4" t="s">
        <v>1186</v>
      </c>
      <c r="B99" s="1" t="s">
        <v>12</v>
      </c>
      <c r="C99" s="11">
        <f>+AFI!F132</f>
        <v>0.32032441296821251</v>
      </c>
    </row>
    <row r="100" spans="1:13" outlineLevel="1" x14ac:dyDescent="0.25">
      <c r="A100" s="1" t="s">
        <v>6</v>
      </c>
      <c r="B100" s="1"/>
      <c r="C100" s="1"/>
    </row>
    <row r="101" spans="1:13" outlineLevel="1" x14ac:dyDescent="0.25">
      <c r="A101" s="4" t="s">
        <v>10</v>
      </c>
      <c r="B101" s="1" t="s">
        <v>5</v>
      </c>
      <c r="C101" s="223">
        <f>+AFI!D128</f>
        <v>719690.4</v>
      </c>
    </row>
    <row r="102" spans="1:13" outlineLevel="1" x14ac:dyDescent="0.25">
      <c r="A102" s="4" t="s">
        <v>8</v>
      </c>
      <c r="B102" s="1" t="s">
        <v>5</v>
      </c>
      <c r="C102" s="223">
        <f>+AFI!D129</f>
        <v>802238.4</v>
      </c>
    </row>
    <row r="103" spans="1:13" outlineLevel="1" x14ac:dyDescent="0.25">
      <c r="A103" s="4" t="s">
        <v>9</v>
      </c>
      <c r="B103" s="1" t="s">
        <v>5</v>
      </c>
      <c r="C103" s="223">
        <f>+AFI!D130</f>
        <v>827643.6</v>
      </c>
    </row>
    <row r="104" spans="1:13" outlineLevel="1" x14ac:dyDescent="0.25">
      <c r="A104" s="4" t="s">
        <v>1308</v>
      </c>
      <c r="B104" s="1" t="s">
        <v>5</v>
      </c>
      <c r="C104" s="223">
        <f>+AFI!D131</f>
        <v>804463.2</v>
      </c>
    </row>
    <row r="105" spans="1:13" outlineLevel="1" x14ac:dyDescent="0.25">
      <c r="A105" s="4" t="s">
        <v>1186</v>
      </c>
      <c r="B105" s="1" t="s">
        <v>5</v>
      </c>
      <c r="C105" s="223">
        <f>+AFI!D132</f>
        <v>864568.8</v>
      </c>
    </row>
    <row r="106" spans="1:13" outlineLevel="1" x14ac:dyDescent="0.25">
      <c r="A106" s="4"/>
      <c r="B106" s="1"/>
      <c r="C106" s="223"/>
    </row>
    <row r="107" spans="1:13" outlineLevel="1" x14ac:dyDescent="0.25">
      <c r="A107" s="4" t="s">
        <v>1619</v>
      </c>
      <c r="B107" s="386">
        <v>1</v>
      </c>
      <c r="C107" s="223"/>
    </row>
    <row r="109" spans="1:13" s="16" customFormat="1" x14ac:dyDescent="0.25">
      <c r="A109" s="104" t="s">
        <v>1323</v>
      </c>
    </row>
    <row r="110" spans="1:13" outlineLevel="1" x14ac:dyDescent="0.25">
      <c r="A110" s="1" t="s">
        <v>13</v>
      </c>
      <c r="B110" s="1"/>
      <c r="C110" s="1"/>
      <c r="D110" s="101">
        <f>+CM_Prob!B14</f>
        <v>1.0204283615122978</v>
      </c>
      <c r="E110" s="101">
        <f t="shared" ref="E110:M110" si="4">+D110</f>
        <v>1.0204283615122978</v>
      </c>
      <c r="F110" s="101">
        <f t="shared" si="4"/>
        <v>1.0204283615122978</v>
      </c>
      <c r="G110" s="101">
        <f t="shared" si="4"/>
        <v>1.0204283615122978</v>
      </c>
      <c r="H110" s="101">
        <f t="shared" si="4"/>
        <v>1.0204283615122978</v>
      </c>
      <c r="I110" s="101">
        <f t="shared" si="4"/>
        <v>1.0204283615122978</v>
      </c>
      <c r="J110" s="101">
        <f t="shared" si="4"/>
        <v>1.0204283615122978</v>
      </c>
      <c r="K110" s="101">
        <f t="shared" si="4"/>
        <v>1.0204283615122978</v>
      </c>
      <c r="L110" s="101">
        <f t="shared" si="4"/>
        <v>1.0204283615122978</v>
      </c>
      <c r="M110" s="101">
        <f t="shared" si="4"/>
        <v>1.0204283615122978</v>
      </c>
    </row>
    <row r="111" spans="1:13" outlineLevel="1" x14ac:dyDescent="0.25">
      <c r="A111" s="1" t="s">
        <v>4</v>
      </c>
      <c r="B111" s="1" t="s">
        <v>22</v>
      </c>
      <c r="C111" s="7"/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</row>
    <row r="112" spans="1:13" outlineLevel="1" x14ac:dyDescent="0.25">
      <c r="A112" s="1"/>
      <c r="B112" s="1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</row>
    <row r="113" spans="1:13" outlineLevel="1" x14ac:dyDescent="0.25">
      <c r="A113" s="1" t="s">
        <v>1123</v>
      </c>
      <c r="B113" s="1" t="s">
        <v>18</v>
      </c>
      <c r="C113" s="7"/>
      <c r="D113" s="5">
        <v>62</v>
      </c>
      <c r="E113" s="5">
        <v>60</v>
      </c>
      <c r="F113" s="5">
        <v>44</v>
      </c>
      <c r="G113" s="5">
        <v>44</v>
      </c>
      <c r="H113" s="5">
        <v>44</v>
      </c>
      <c r="I113" s="5">
        <v>44</v>
      </c>
      <c r="J113" s="5">
        <v>44</v>
      </c>
      <c r="K113" s="5">
        <v>44</v>
      </c>
      <c r="L113" s="5">
        <v>44</v>
      </c>
      <c r="M113" s="5">
        <v>44</v>
      </c>
    </row>
    <row r="114" spans="1:13" outlineLevel="1" x14ac:dyDescent="0.25">
      <c r="A114" s="1" t="s">
        <v>1135</v>
      </c>
      <c r="B114" s="1" t="s">
        <v>18</v>
      </c>
      <c r="C114" s="7"/>
      <c r="D114" s="5">
        <v>187</v>
      </c>
      <c r="E114" s="5">
        <v>187</v>
      </c>
      <c r="F114" s="5">
        <v>187</v>
      </c>
      <c r="G114" s="5">
        <v>187</v>
      </c>
      <c r="H114" s="5">
        <v>187</v>
      </c>
      <c r="I114" s="5">
        <v>187</v>
      </c>
      <c r="J114" s="5">
        <v>187</v>
      </c>
      <c r="K114" s="5">
        <v>187</v>
      </c>
      <c r="L114" s="5">
        <v>187</v>
      </c>
      <c r="M114" s="5">
        <v>187</v>
      </c>
    </row>
    <row r="115" spans="1:13" outlineLevel="1" x14ac:dyDescent="0.25">
      <c r="A115" s="1" t="s">
        <v>1327</v>
      </c>
      <c r="B115" s="6" t="s">
        <v>12</v>
      </c>
      <c r="C115" s="7"/>
      <c r="D115" s="7">
        <v>0</v>
      </c>
      <c r="E115" s="5"/>
      <c r="F115" s="5"/>
      <c r="G115" s="5"/>
      <c r="H115" s="5"/>
      <c r="I115" s="5"/>
      <c r="J115" s="5"/>
      <c r="K115" s="5"/>
      <c r="L115" s="5"/>
      <c r="M115" s="5"/>
    </row>
    <row r="116" spans="1:13" outlineLevel="1" x14ac:dyDescent="0.25">
      <c r="A116" s="1" t="s">
        <v>1427</v>
      </c>
      <c r="B116" s="6" t="s">
        <v>12</v>
      </c>
      <c r="C116" s="7"/>
      <c r="D116" s="7"/>
      <c r="E116" s="5"/>
      <c r="F116" s="5"/>
      <c r="G116" s="5"/>
      <c r="H116" s="5"/>
      <c r="I116" s="5"/>
      <c r="J116" s="5"/>
      <c r="K116" s="5"/>
      <c r="L116" s="5"/>
      <c r="M116" s="5"/>
    </row>
    <row r="117" spans="1:13" outlineLevel="1" x14ac:dyDescent="0.25">
      <c r="A117" s="1" t="s">
        <v>1332</v>
      </c>
      <c r="B117" s="6" t="s">
        <v>11</v>
      </c>
      <c r="C117" s="7"/>
      <c r="D117" s="13">
        <v>0</v>
      </c>
      <c r="E117" s="5"/>
      <c r="F117" s="5"/>
      <c r="G117" s="5"/>
      <c r="H117" s="5"/>
      <c r="I117" s="5"/>
      <c r="J117" s="5"/>
      <c r="K117" s="5"/>
      <c r="L117" s="5"/>
      <c r="M117" s="5"/>
    </row>
    <row r="118" spans="1:13" outlineLevel="1" x14ac:dyDescent="0.25">
      <c r="A118" s="1"/>
      <c r="B118" s="6" t="s">
        <v>11</v>
      </c>
      <c r="C118" s="7"/>
      <c r="D118" s="13"/>
      <c r="E118" s="5"/>
      <c r="F118" s="5"/>
      <c r="G118" s="5"/>
      <c r="H118" s="5"/>
      <c r="I118" s="5"/>
      <c r="J118" s="5"/>
      <c r="K118" s="5"/>
      <c r="L118" s="5"/>
      <c r="M118" s="5"/>
    </row>
    <row r="120" spans="1:13" x14ac:dyDescent="0.25">
      <c r="A120" s="2" t="s">
        <v>1326</v>
      </c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</row>
    <row r="121" spans="1:13" outlineLevel="1" x14ac:dyDescent="0.25">
      <c r="A121" s="1" t="s">
        <v>13</v>
      </c>
      <c r="B121" s="1"/>
      <c r="C121" s="1"/>
      <c r="D121" s="101">
        <f>+D110</f>
        <v>1.0204283615122978</v>
      </c>
      <c r="E121" s="101">
        <f>+CM_Prob!C14</f>
        <v>0.98997843307571454</v>
      </c>
      <c r="F121" s="101">
        <f>+CM_Prob!D14</f>
        <v>0.96991629513569566</v>
      </c>
      <c r="G121" s="101">
        <f>+CM_Prob!E14</f>
        <v>0.95041794964521542</v>
      </c>
      <c r="H121" s="101">
        <f>+CM_Prob!F14</f>
        <v>0.92989067763719147</v>
      </c>
      <c r="I121" s="101">
        <f>+H121</f>
        <v>0.92989067763719147</v>
      </c>
      <c r="J121" s="101">
        <f>+I121</f>
        <v>0.92989067763719147</v>
      </c>
      <c r="K121" s="101">
        <f>+J121</f>
        <v>0.92989067763719147</v>
      </c>
      <c r="L121" s="101">
        <f>+K121</f>
        <v>0.92989067763719147</v>
      </c>
      <c r="M121" s="101">
        <f>+L121</f>
        <v>0.92989067763719147</v>
      </c>
    </row>
    <row r="122" spans="1:13" outlineLevel="1" x14ac:dyDescent="0.25">
      <c r="A122" s="1" t="s">
        <v>4</v>
      </c>
      <c r="B122" s="1" t="s">
        <v>22</v>
      </c>
      <c r="C122" s="7"/>
      <c r="D122" s="11">
        <f>+D111</f>
        <v>0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</row>
    <row r="123" spans="1:13" outlineLevel="1" x14ac:dyDescent="0.25">
      <c r="A123" s="1"/>
      <c r="B123" s="1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</row>
    <row r="124" spans="1:13" outlineLevel="1" x14ac:dyDescent="0.25">
      <c r="A124" s="1" t="s">
        <v>1123</v>
      </c>
      <c r="B124" s="1" t="s">
        <v>18</v>
      </c>
      <c r="C124" s="7"/>
      <c r="D124" s="324">
        <f>+G7</f>
        <v>56</v>
      </c>
      <c r="E124" s="127">
        <f>MIN(D124,56)</f>
        <v>56</v>
      </c>
      <c r="F124" s="127">
        <f>MIN(E124,50)</f>
        <v>50</v>
      </c>
      <c r="G124" s="127">
        <f>MIN(F124,45)</f>
        <v>45</v>
      </c>
      <c r="H124" s="127">
        <f>MIN(G124,40)</f>
        <v>40</v>
      </c>
      <c r="I124" s="127">
        <f>MIN(H124,35)</f>
        <v>35</v>
      </c>
      <c r="J124" s="127">
        <v>35</v>
      </c>
      <c r="K124" s="127">
        <v>35</v>
      </c>
      <c r="L124" s="127">
        <v>35</v>
      </c>
      <c r="M124" s="127">
        <v>35</v>
      </c>
    </row>
    <row r="125" spans="1:13" outlineLevel="1" x14ac:dyDescent="0.25">
      <c r="A125" s="1" t="s">
        <v>1135</v>
      </c>
      <c r="B125" s="1" t="s">
        <v>18</v>
      </c>
      <c r="C125" s="7"/>
      <c r="D125" s="5">
        <v>187</v>
      </c>
      <c r="E125" s="5">
        <v>187</v>
      </c>
      <c r="F125" s="5">
        <v>187</v>
      </c>
      <c r="G125" s="5">
        <v>187</v>
      </c>
      <c r="H125" s="5">
        <v>187</v>
      </c>
      <c r="I125" s="5">
        <v>187</v>
      </c>
      <c r="J125" s="5">
        <v>187</v>
      </c>
      <c r="K125" s="5">
        <v>187</v>
      </c>
      <c r="L125" s="5">
        <v>187</v>
      </c>
      <c r="M125" s="5">
        <v>187</v>
      </c>
    </row>
    <row r="126" spans="1:13" outlineLevel="1" x14ac:dyDescent="0.25">
      <c r="A126" s="1" t="s">
        <v>1327</v>
      </c>
      <c r="B126" s="6" t="s">
        <v>12</v>
      </c>
      <c r="C126" s="7"/>
      <c r="D126" s="7">
        <v>0</v>
      </c>
      <c r="E126" s="5"/>
      <c r="F126" s="5"/>
      <c r="G126" s="5"/>
      <c r="H126" s="5"/>
      <c r="I126" s="5"/>
      <c r="J126" s="5"/>
      <c r="K126" s="5"/>
      <c r="L126" s="5"/>
      <c r="M126" s="5"/>
    </row>
    <row r="127" spans="1:13" outlineLevel="1" x14ac:dyDescent="0.25">
      <c r="A127" s="1" t="s">
        <v>1427</v>
      </c>
      <c r="B127" s="6" t="s">
        <v>12</v>
      </c>
      <c r="C127" s="7"/>
      <c r="D127" s="7"/>
      <c r="E127" s="5"/>
      <c r="F127" s="5"/>
      <c r="G127" s="5"/>
      <c r="H127" s="5"/>
      <c r="I127" s="5"/>
      <c r="J127" s="5"/>
      <c r="K127" s="5"/>
      <c r="L127" s="5"/>
      <c r="M127" s="5"/>
    </row>
    <row r="128" spans="1:13" outlineLevel="1" x14ac:dyDescent="0.25">
      <c r="A128" s="1" t="s">
        <v>1332</v>
      </c>
      <c r="B128" s="6" t="s">
        <v>11</v>
      </c>
      <c r="C128" s="7"/>
      <c r="D128" s="13">
        <v>0</v>
      </c>
      <c r="E128" s="5"/>
      <c r="F128" s="5"/>
      <c r="G128" s="5"/>
      <c r="H128" s="5"/>
      <c r="I128" s="5"/>
      <c r="J128" s="5"/>
      <c r="K128" s="5"/>
      <c r="L128" s="5"/>
      <c r="M128" s="5"/>
    </row>
    <row r="129" spans="1:13" outlineLevel="1" x14ac:dyDescent="0.25">
      <c r="A129" s="1"/>
      <c r="B129" s="6" t="s">
        <v>11</v>
      </c>
      <c r="C129" s="7"/>
      <c r="D129" s="13"/>
      <c r="E129" s="5"/>
      <c r="F129" s="5"/>
      <c r="G129" s="5"/>
      <c r="H129" s="5"/>
      <c r="I129" s="5"/>
      <c r="J129" s="5"/>
      <c r="K129" s="5"/>
      <c r="L129" s="5"/>
      <c r="M129" s="5"/>
    </row>
    <row r="131" spans="1:13" x14ac:dyDescent="0.25">
      <c r="A131" s="2" t="s">
        <v>1334</v>
      </c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</row>
    <row r="132" spans="1:13" outlineLevel="1" x14ac:dyDescent="0.25">
      <c r="A132" s="1" t="s">
        <v>13</v>
      </c>
      <c r="B132" s="1"/>
      <c r="C132" s="1"/>
      <c r="D132" s="101">
        <f>+D121</f>
        <v>1.0204283615122978</v>
      </c>
      <c r="E132" s="101">
        <f t="shared" ref="E132:M132" si="5">+E121</f>
        <v>0.98997843307571454</v>
      </c>
      <c r="F132" s="101">
        <f t="shared" si="5"/>
        <v>0.96991629513569566</v>
      </c>
      <c r="G132" s="101">
        <f t="shared" si="5"/>
        <v>0.95041794964521542</v>
      </c>
      <c r="H132" s="101">
        <f t="shared" si="5"/>
        <v>0.92989067763719147</v>
      </c>
      <c r="I132" s="101">
        <f t="shared" si="5"/>
        <v>0.92989067763719147</v>
      </c>
      <c r="J132" s="101">
        <f t="shared" si="5"/>
        <v>0.92989067763719147</v>
      </c>
      <c r="K132" s="101">
        <f t="shared" si="5"/>
        <v>0.92989067763719147</v>
      </c>
      <c r="L132" s="101">
        <f t="shared" si="5"/>
        <v>0.92989067763719147</v>
      </c>
      <c r="M132" s="101">
        <f t="shared" si="5"/>
        <v>0.92989067763719147</v>
      </c>
    </row>
    <row r="133" spans="1:13" outlineLevel="1" x14ac:dyDescent="0.25">
      <c r="A133" s="1" t="s">
        <v>4</v>
      </c>
      <c r="B133" s="1" t="s">
        <v>22</v>
      </c>
      <c r="C133" s="11"/>
      <c r="D133" s="11">
        <f>+D122</f>
        <v>0</v>
      </c>
      <c r="E133" s="11">
        <f t="shared" ref="E133:M133" si="6">+E122</f>
        <v>0</v>
      </c>
      <c r="F133" s="11">
        <f t="shared" si="6"/>
        <v>0</v>
      </c>
      <c r="G133" s="11">
        <f t="shared" si="6"/>
        <v>0</v>
      </c>
      <c r="H133" s="11">
        <f t="shared" si="6"/>
        <v>0</v>
      </c>
      <c r="I133" s="11">
        <f t="shared" si="6"/>
        <v>0</v>
      </c>
      <c r="J133" s="11">
        <f t="shared" si="6"/>
        <v>0</v>
      </c>
      <c r="K133" s="11">
        <f t="shared" si="6"/>
        <v>0</v>
      </c>
      <c r="L133" s="11">
        <f t="shared" si="6"/>
        <v>0</v>
      </c>
      <c r="M133" s="11">
        <f t="shared" si="6"/>
        <v>0</v>
      </c>
    </row>
    <row r="134" spans="1:13" outlineLevel="1" x14ac:dyDescent="0.25">
      <c r="A134" s="1"/>
      <c r="B134" s="1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</row>
    <row r="135" spans="1:13" outlineLevel="1" x14ac:dyDescent="0.25">
      <c r="A135" s="1" t="s">
        <v>1123</v>
      </c>
      <c r="B135" s="1" t="s">
        <v>18</v>
      </c>
      <c r="C135" s="7"/>
      <c r="D135" s="223">
        <f t="shared" ref="D135:M135" si="7">+D124</f>
        <v>56</v>
      </c>
      <c r="E135" s="223">
        <f t="shared" si="7"/>
        <v>56</v>
      </c>
      <c r="F135" s="223">
        <f t="shared" si="7"/>
        <v>50</v>
      </c>
      <c r="G135" s="223">
        <f t="shared" si="7"/>
        <v>45</v>
      </c>
      <c r="H135" s="223">
        <f t="shared" si="7"/>
        <v>40</v>
      </c>
      <c r="I135" s="223">
        <f t="shared" si="7"/>
        <v>35</v>
      </c>
      <c r="J135" s="223">
        <f t="shared" si="7"/>
        <v>35</v>
      </c>
      <c r="K135" s="223">
        <f t="shared" si="7"/>
        <v>35</v>
      </c>
      <c r="L135" s="223">
        <f t="shared" si="7"/>
        <v>35</v>
      </c>
      <c r="M135" s="223">
        <f t="shared" si="7"/>
        <v>35</v>
      </c>
    </row>
    <row r="136" spans="1:13" outlineLevel="1" x14ac:dyDescent="0.25">
      <c r="A136" s="1" t="s">
        <v>1135</v>
      </c>
      <c r="B136" s="1" t="s">
        <v>18</v>
      </c>
      <c r="C136" s="7"/>
      <c r="D136" s="223">
        <f t="shared" ref="D136:M136" si="8">+D125</f>
        <v>187</v>
      </c>
      <c r="E136" s="223">
        <f t="shared" si="8"/>
        <v>187</v>
      </c>
      <c r="F136" s="223">
        <f t="shared" si="8"/>
        <v>187</v>
      </c>
      <c r="G136" s="223">
        <f t="shared" si="8"/>
        <v>187</v>
      </c>
      <c r="H136" s="223">
        <f t="shared" si="8"/>
        <v>187</v>
      </c>
      <c r="I136" s="223">
        <f t="shared" si="8"/>
        <v>187</v>
      </c>
      <c r="J136" s="223">
        <f t="shared" si="8"/>
        <v>187</v>
      </c>
      <c r="K136" s="223">
        <f t="shared" si="8"/>
        <v>187</v>
      </c>
      <c r="L136" s="223">
        <f t="shared" si="8"/>
        <v>187</v>
      </c>
      <c r="M136" s="223">
        <f t="shared" si="8"/>
        <v>187</v>
      </c>
    </row>
    <row r="137" spans="1:13" outlineLevel="1" x14ac:dyDescent="0.25">
      <c r="A137" s="1" t="s">
        <v>1327</v>
      </c>
      <c r="B137" s="6" t="s">
        <v>12</v>
      </c>
      <c r="C137" s="7"/>
      <c r="D137" s="11">
        <f>+G6</f>
        <v>0</v>
      </c>
      <c r="E137" s="5"/>
      <c r="F137" s="5"/>
      <c r="G137" s="5"/>
      <c r="H137" s="5"/>
      <c r="I137" s="5"/>
      <c r="J137" s="5"/>
      <c r="K137" s="5"/>
      <c r="L137" s="5"/>
      <c r="M137" s="5"/>
    </row>
    <row r="138" spans="1:13" outlineLevel="1" x14ac:dyDescent="0.25">
      <c r="A138" s="1" t="s">
        <v>1427</v>
      </c>
      <c r="B138" s="6" t="s">
        <v>12</v>
      </c>
      <c r="C138" s="7"/>
      <c r="D138" s="7">
        <f>+D6</f>
        <v>0</v>
      </c>
      <c r="E138" s="5"/>
      <c r="F138" s="5"/>
      <c r="G138" s="5"/>
      <c r="H138" s="5"/>
      <c r="I138" s="5"/>
      <c r="J138" s="5"/>
      <c r="K138" s="5"/>
      <c r="L138" s="5"/>
      <c r="M138" s="5"/>
    </row>
    <row r="139" spans="1:13" outlineLevel="1" x14ac:dyDescent="0.25">
      <c r="A139" s="1" t="s">
        <v>1332</v>
      </c>
      <c r="B139" s="6" t="s">
        <v>11</v>
      </c>
      <c r="C139" s="7"/>
      <c r="D139" s="13">
        <v>0</v>
      </c>
      <c r="E139" s="5"/>
      <c r="F139" s="5"/>
      <c r="G139" s="5"/>
      <c r="H139" s="5"/>
      <c r="I139" s="5"/>
      <c r="J139" s="5"/>
      <c r="K139" s="5"/>
      <c r="L139" s="5"/>
      <c r="M139" s="5"/>
    </row>
    <row r="140" spans="1:13" outlineLevel="1" x14ac:dyDescent="0.25">
      <c r="A140" s="1"/>
      <c r="B140" s="6" t="s">
        <v>11</v>
      </c>
      <c r="C140" s="7"/>
      <c r="D140" s="13">
        <v>0</v>
      </c>
      <c r="E140" s="5"/>
      <c r="F140" s="5"/>
      <c r="G140" s="5"/>
      <c r="H140" s="5"/>
      <c r="I140" s="5"/>
      <c r="J140" s="5"/>
      <c r="K140" s="5"/>
      <c r="L140" s="5"/>
      <c r="M140" s="5"/>
    </row>
    <row r="142" spans="1:13" x14ac:dyDescent="0.25">
      <c r="A142" s="2" t="s">
        <v>1335</v>
      </c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</row>
    <row r="143" spans="1:13" outlineLevel="1" x14ac:dyDescent="0.25">
      <c r="A143" s="1" t="s">
        <v>13</v>
      </c>
      <c r="B143" s="1"/>
      <c r="C143" s="1"/>
      <c r="D143" s="101">
        <f>+D132</f>
        <v>1.0204283615122978</v>
      </c>
      <c r="E143" s="101">
        <f t="shared" ref="E143:M143" si="9">+E132</f>
        <v>0.98997843307571454</v>
      </c>
      <c r="F143" s="101">
        <f t="shared" si="9"/>
        <v>0.96991629513569566</v>
      </c>
      <c r="G143" s="101">
        <f t="shared" si="9"/>
        <v>0.95041794964521542</v>
      </c>
      <c r="H143" s="101">
        <f t="shared" si="9"/>
        <v>0.92989067763719147</v>
      </c>
      <c r="I143" s="101">
        <f t="shared" si="9"/>
        <v>0.92989067763719147</v>
      </c>
      <c r="J143" s="101">
        <f t="shared" si="9"/>
        <v>0.92989067763719147</v>
      </c>
      <c r="K143" s="101">
        <f t="shared" si="9"/>
        <v>0.92989067763719147</v>
      </c>
      <c r="L143" s="101">
        <f t="shared" si="9"/>
        <v>0.92989067763719147</v>
      </c>
      <c r="M143" s="101">
        <f t="shared" si="9"/>
        <v>0.92989067763719147</v>
      </c>
    </row>
    <row r="144" spans="1:13" outlineLevel="1" x14ac:dyDescent="0.25">
      <c r="A144" s="1" t="s">
        <v>4</v>
      </c>
      <c r="B144" s="1" t="s">
        <v>22</v>
      </c>
      <c r="C144" s="11"/>
      <c r="D144" s="11">
        <f t="shared" ref="D144:M144" si="10">+D133</f>
        <v>0</v>
      </c>
      <c r="E144" s="11">
        <f t="shared" si="10"/>
        <v>0</v>
      </c>
      <c r="F144" s="11">
        <f t="shared" si="10"/>
        <v>0</v>
      </c>
      <c r="G144" s="11">
        <f t="shared" si="10"/>
        <v>0</v>
      </c>
      <c r="H144" s="11">
        <f t="shared" si="10"/>
        <v>0</v>
      </c>
      <c r="I144" s="11">
        <f t="shared" si="10"/>
        <v>0</v>
      </c>
      <c r="J144" s="11">
        <f t="shared" si="10"/>
        <v>0</v>
      </c>
      <c r="K144" s="11">
        <f t="shared" si="10"/>
        <v>0</v>
      </c>
      <c r="L144" s="11">
        <f t="shared" si="10"/>
        <v>0</v>
      </c>
      <c r="M144" s="11">
        <f t="shared" si="10"/>
        <v>0</v>
      </c>
    </row>
    <row r="145" spans="1:13" outlineLevel="1" x14ac:dyDescent="0.25">
      <c r="A145" s="1"/>
      <c r="B145" s="1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</row>
    <row r="146" spans="1:13" outlineLevel="1" x14ac:dyDescent="0.25">
      <c r="A146" s="1" t="s">
        <v>1123</v>
      </c>
      <c r="B146" s="1" t="s">
        <v>18</v>
      </c>
      <c r="C146" s="7"/>
      <c r="D146" s="223">
        <f t="shared" ref="D146:M146" si="11">+D135</f>
        <v>56</v>
      </c>
      <c r="E146" s="223">
        <f t="shared" si="11"/>
        <v>56</v>
      </c>
      <c r="F146" s="223">
        <f t="shared" si="11"/>
        <v>50</v>
      </c>
      <c r="G146" s="223">
        <f t="shared" si="11"/>
        <v>45</v>
      </c>
      <c r="H146" s="223">
        <f t="shared" si="11"/>
        <v>40</v>
      </c>
      <c r="I146" s="223">
        <f t="shared" si="11"/>
        <v>35</v>
      </c>
      <c r="J146" s="223">
        <f t="shared" si="11"/>
        <v>35</v>
      </c>
      <c r="K146" s="223">
        <f t="shared" si="11"/>
        <v>35</v>
      </c>
      <c r="L146" s="223">
        <f t="shared" si="11"/>
        <v>35</v>
      </c>
      <c r="M146" s="223">
        <f t="shared" si="11"/>
        <v>35</v>
      </c>
    </row>
    <row r="147" spans="1:13" outlineLevel="1" x14ac:dyDescent="0.25">
      <c r="A147" s="1" t="s">
        <v>1135</v>
      </c>
      <c r="B147" s="1" t="s">
        <v>18</v>
      </c>
      <c r="C147" s="7"/>
      <c r="D147" s="223">
        <f t="shared" ref="D147:M147" si="12">+D136</f>
        <v>187</v>
      </c>
      <c r="E147" s="223">
        <f t="shared" si="12"/>
        <v>187</v>
      </c>
      <c r="F147" s="223">
        <f t="shared" si="12"/>
        <v>187</v>
      </c>
      <c r="G147" s="223">
        <f t="shared" si="12"/>
        <v>187</v>
      </c>
      <c r="H147" s="223">
        <f t="shared" si="12"/>
        <v>187</v>
      </c>
      <c r="I147" s="223">
        <f t="shared" si="12"/>
        <v>187</v>
      </c>
      <c r="J147" s="223">
        <f t="shared" si="12"/>
        <v>187</v>
      </c>
      <c r="K147" s="223">
        <f t="shared" si="12"/>
        <v>187</v>
      </c>
      <c r="L147" s="223">
        <f t="shared" si="12"/>
        <v>187</v>
      </c>
      <c r="M147" s="223">
        <f t="shared" si="12"/>
        <v>187</v>
      </c>
    </row>
    <row r="148" spans="1:13" outlineLevel="1" x14ac:dyDescent="0.25">
      <c r="A148" s="1" t="s">
        <v>1327</v>
      </c>
      <c r="B148" s="6" t="s">
        <v>12</v>
      </c>
      <c r="C148" s="7"/>
      <c r="D148" s="11">
        <f>+D137</f>
        <v>0</v>
      </c>
      <c r="E148" s="5"/>
      <c r="F148" s="5"/>
      <c r="G148" s="5"/>
      <c r="H148" s="5"/>
      <c r="I148" s="5"/>
      <c r="J148" s="5"/>
      <c r="K148" s="5"/>
      <c r="L148" s="5"/>
      <c r="M148" s="5"/>
    </row>
    <row r="149" spans="1:13" outlineLevel="1" x14ac:dyDescent="0.25">
      <c r="A149" s="1" t="s">
        <v>1427</v>
      </c>
      <c r="B149" s="6" t="s">
        <v>12</v>
      </c>
      <c r="C149" s="7"/>
      <c r="D149" s="11">
        <f>+D138</f>
        <v>0</v>
      </c>
      <c r="E149" s="5"/>
      <c r="F149" s="5"/>
      <c r="G149" s="5"/>
      <c r="H149" s="5"/>
      <c r="I149" s="5"/>
      <c r="J149" s="5"/>
      <c r="K149" s="5"/>
      <c r="L149" s="5"/>
      <c r="M149" s="5"/>
    </row>
    <row r="150" spans="1:13" outlineLevel="1" x14ac:dyDescent="0.25">
      <c r="A150" s="1" t="s">
        <v>1332</v>
      </c>
      <c r="B150" s="6" t="s">
        <v>11</v>
      </c>
      <c r="C150" s="7"/>
      <c r="D150" s="13">
        <f>+J6</f>
        <v>0</v>
      </c>
      <c r="E150" s="5"/>
      <c r="F150" s="5"/>
      <c r="G150" s="5"/>
      <c r="H150" s="5"/>
      <c r="I150" s="5"/>
      <c r="J150" s="5"/>
      <c r="K150" s="5"/>
      <c r="L150" s="5"/>
      <c r="M150" s="5"/>
    </row>
    <row r="151" spans="1:13" outlineLevel="1" x14ac:dyDescent="0.25">
      <c r="A151" s="1"/>
      <c r="B151" s="6" t="s">
        <v>11</v>
      </c>
      <c r="C151" s="7"/>
      <c r="D151" s="103">
        <f>+D140</f>
        <v>0</v>
      </c>
      <c r="E151" s="5"/>
      <c r="F151" s="5"/>
      <c r="G151" s="5"/>
      <c r="H151" s="5"/>
      <c r="I151" s="5"/>
      <c r="J151" s="5"/>
      <c r="K151" s="5"/>
      <c r="L151" s="5"/>
      <c r="M151" s="5"/>
    </row>
    <row r="153" spans="1:13" s="16" customFormat="1" x14ac:dyDescent="0.25">
      <c r="A153" s="2" t="s">
        <v>1361</v>
      </c>
    </row>
    <row r="154" spans="1:13" outlineLevel="1" x14ac:dyDescent="0.25">
      <c r="A154" s="4" t="s">
        <v>1323</v>
      </c>
    </row>
    <row r="155" spans="1:13" outlineLevel="1" x14ac:dyDescent="0.25">
      <c r="A155" s="4" t="s">
        <v>1326</v>
      </c>
    </row>
    <row r="156" spans="1:13" outlineLevel="1" x14ac:dyDescent="0.25">
      <c r="A156" s="4" t="s">
        <v>1334</v>
      </c>
    </row>
    <row r="157" spans="1:13" outlineLevel="1" x14ac:dyDescent="0.25">
      <c r="A157" s="4" t="s">
        <v>1335</v>
      </c>
    </row>
    <row r="158" spans="1:13" outlineLevel="1" x14ac:dyDescent="0.25">
      <c r="A158" s="264">
        <v>4</v>
      </c>
    </row>
    <row r="159" spans="1:13" outlineLevel="1" x14ac:dyDescent="0.25">
      <c r="A159" s="264" t="b">
        <v>0</v>
      </c>
    </row>
    <row r="160" spans="1:13" outlineLevel="1" x14ac:dyDescent="0.25">
      <c r="A160" s="4" t="s">
        <v>1474</v>
      </c>
    </row>
    <row r="161" spans="1:1" outlineLevel="1" x14ac:dyDescent="0.25">
      <c r="A161" s="4" t="s">
        <v>21</v>
      </c>
    </row>
    <row r="162" spans="1:1" outlineLevel="1" x14ac:dyDescent="0.25">
      <c r="A162" s="4" t="s">
        <v>1475</v>
      </c>
    </row>
    <row r="163" spans="1:1" outlineLevel="1" x14ac:dyDescent="0.25">
      <c r="A163" s="264">
        <v>1</v>
      </c>
    </row>
    <row r="164" spans="1:1" outlineLevel="1" x14ac:dyDescent="0.25">
      <c r="A164" s="4" t="s">
        <v>1186</v>
      </c>
    </row>
    <row r="165" spans="1:1" outlineLevel="1" x14ac:dyDescent="0.25">
      <c r="A165" s="4" t="s">
        <v>1478</v>
      </c>
    </row>
    <row r="166" spans="1:1" outlineLevel="1" x14ac:dyDescent="0.25">
      <c r="A166" s="264">
        <v>1</v>
      </c>
    </row>
  </sheetData>
  <mergeCells count="9">
    <mergeCell ref="F75:F76"/>
    <mergeCell ref="G75:G76"/>
    <mergeCell ref="H75:H76"/>
    <mergeCell ref="I75:I76"/>
    <mergeCell ref="A75:A76"/>
    <mergeCell ref="C75:C76"/>
    <mergeCell ref="D75:D76"/>
    <mergeCell ref="B75:B76"/>
    <mergeCell ref="E75:E76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4" name="Drop Down 2">
              <controlPr defaultSize="0" autoLine="0" autoPict="0">
                <anchor moveWithCells="1">
                  <from>
                    <xdr:col>0</xdr:col>
                    <xdr:colOff>742950</xdr:colOff>
                    <xdr:row>5</xdr:row>
                    <xdr:rowOff>28575</xdr:rowOff>
                  </from>
                  <to>
                    <xdr:col>1</xdr:col>
                    <xdr:colOff>47625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Drop Down 7">
              <controlPr defaultSize="0" autoLine="0" autoPict="0">
                <anchor moveWithCells="1">
                  <from>
                    <xdr:col>0</xdr:col>
                    <xdr:colOff>742950</xdr:colOff>
                    <xdr:row>6</xdr:row>
                    <xdr:rowOff>19050</xdr:rowOff>
                  </from>
                  <to>
                    <xdr:col>1</xdr:col>
                    <xdr:colOff>47625</xdr:colOff>
                    <xdr:row>6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"/>
  <dimension ref="A1:I29"/>
  <sheetViews>
    <sheetView showGridLines="0" zoomScale="115" zoomScaleNormal="115" workbookViewId="0">
      <selection activeCell="B24" sqref="B24"/>
    </sheetView>
  </sheetViews>
  <sheetFormatPr baseColWidth="10" defaultColWidth="11.42578125" defaultRowHeight="15" x14ac:dyDescent="0.25"/>
  <cols>
    <col min="1" max="1" width="42.7109375" bestFit="1" customWidth="1"/>
    <col min="2" max="4" width="10.5703125" style="9" customWidth="1"/>
    <col min="5" max="5" width="11.42578125" style="254"/>
    <col min="6" max="8" width="10.5703125" style="9" customWidth="1"/>
    <col min="9" max="9" width="11.42578125" style="252"/>
  </cols>
  <sheetData>
    <row r="1" spans="1:9" s="16" customFormat="1" x14ac:dyDescent="0.25">
      <c r="A1" s="16" t="s">
        <v>1397</v>
      </c>
      <c r="B1" s="12"/>
      <c r="C1" s="12"/>
      <c r="D1" s="12"/>
      <c r="E1" s="253"/>
      <c r="F1" s="12"/>
      <c r="G1" s="12"/>
      <c r="H1" s="12"/>
      <c r="I1" s="251"/>
    </row>
    <row r="2" spans="1:9" s="16" customFormat="1" x14ac:dyDescent="0.25">
      <c r="A2" s="16" t="s">
        <v>1359</v>
      </c>
      <c r="B2" s="12"/>
      <c r="C2" s="12"/>
      <c r="D2" s="12"/>
      <c r="E2" s="253"/>
      <c r="F2" s="12"/>
      <c r="G2" s="12"/>
      <c r="H2" s="12"/>
      <c r="I2" s="251"/>
    </row>
    <row r="4" spans="1:9" x14ac:dyDescent="0.25">
      <c r="A4" s="16" t="s">
        <v>1377</v>
      </c>
      <c r="B4" s="257" t="s">
        <v>1410</v>
      </c>
      <c r="C4" s="257" t="s">
        <v>1411</v>
      </c>
      <c r="D4" s="257" t="s">
        <v>1412</v>
      </c>
      <c r="E4" s="253" t="s">
        <v>1396</v>
      </c>
      <c r="F4" s="257" t="s">
        <v>1413</v>
      </c>
      <c r="G4" s="257" t="s">
        <v>1415</v>
      </c>
      <c r="H4" s="257" t="s">
        <v>1414</v>
      </c>
      <c r="I4" s="251" t="s">
        <v>1378</v>
      </c>
    </row>
    <row r="5" spans="1:9" x14ac:dyDescent="0.25">
      <c r="A5" t="s">
        <v>1379</v>
      </c>
      <c r="B5" s="258">
        <v>131284037135</v>
      </c>
      <c r="C5" s="103">
        <f>+B5-D5</f>
        <v>49887934111.300003</v>
      </c>
      <c r="D5" s="258">
        <f>+B5*0.62</f>
        <v>81396103023.699997</v>
      </c>
      <c r="E5" s="255">
        <f>+'Panel de control'!$D$88</f>
        <v>0</v>
      </c>
      <c r="F5" s="103">
        <f>+B5*E5</f>
        <v>0</v>
      </c>
      <c r="G5" s="255"/>
      <c r="H5" s="103">
        <f>+D5*G5</f>
        <v>0</v>
      </c>
      <c r="I5" s="252" t="s">
        <v>1380</v>
      </c>
    </row>
    <row r="6" spans="1:9" x14ac:dyDescent="0.25">
      <c r="A6" t="s">
        <v>1381</v>
      </c>
      <c r="B6" s="258">
        <v>52889407420</v>
      </c>
      <c r="C6" s="103">
        <f t="shared" ref="C6:C22" si="0">+B6-D6</f>
        <v>20097974819.599998</v>
      </c>
      <c r="D6" s="258">
        <f t="shared" ref="D6:D22" si="1">+B6*0.62</f>
        <v>32791432600.400002</v>
      </c>
      <c r="E6" s="255"/>
      <c r="F6" s="103">
        <f t="shared" ref="F6:F22" si="2">+B6*E6</f>
        <v>0</v>
      </c>
      <c r="G6" s="255">
        <f>+'Panel de control'!$D$89</f>
        <v>0</v>
      </c>
      <c r="H6" s="103">
        <f t="shared" ref="H6:H22" si="3">+D6*G6</f>
        <v>0</v>
      </c>
      <c r="I6" s="252" t="s">
        <v>1395</v>
      </c>
    </row>
    <row r="7" spans="1:9" x14ac:dyDescent="0.25">
      <c r="A7" t="s">
        <v>1382</v>
      </c>
      <c r="B7" s="258">
        <v>43688555121</v>
      </c>
      <c r="C7" s="103">
        <f t="shared" si="0"/>
        <v>16601650945.98</v>
      </c>
      <c r="D7" s="258">
        <f t="shared" si="1"/>
        <v>27086904175.02</v>
      </c>
      <c r="E7" s="255">
        <f>+'Panel de control'!$D$88</f>
        <v>0</v>
      </c>
      <c r="F7" s="103">
        <f t="shared" si="2"/>
        <v>0</v>
      </c>
      <c r="G7" s="255"/>
      <c r="H7" s="103">
        <f t="shared" si="3"/>
        <v>0</v>
      </c>
      <c r="I7" s="252" t="s">
        <v>1380</v>
      </c>
    </row>
    <row r="8" spans="1:9" x14ac:dyDescent="0.25">
      <c r="A8" t="s">
        <v>1354</v>
      </c>
      <c r="B8" s="258">
        <v>42263613504</v>
      </c>
      <c r="C8" s="103">
        <f t="shared" si="0"/>
        <v>16060173131.52</v>
      </c>
      <c r="D8" s="258">
        <f t="shared" si="1"/>
        <v>26203440372.48</v>
      </c>
      <c r="E8" s="255"/>
      <c r="F8" s="103">
        <f t="shared" si="2"/>
        <v>0</v>
      </c>
      <c r="G8" s="255">
        <f>+'Panel de control'!$D$89</f>
        <v>0</v>
      </c>
      <c r="H8" s="103">
        <f t="shared" si="3"/>
        <v>0</v>
      </c>
      <c r="I8" s="252" t="s">
        <v>1395</v>
      </c>
    </row>
    <row r="9" spans="1:9" x14ac:dyDescent="0.25">
      <c r="A9" t="s">
        <v>1383</v>
      </c>
      <c r="B9" s="258">
        <v>18219592897</v>
      </c>
      <c r="C9" s="103">
        <f t="shared" si="0"/>
        <v>6923445300.8600006</v>
      </c>
      <c r="D9" s="258">
        <f t="shared" si="1"/>
        <v>11296147596.139999</v>
      </c>
      <c r="E9" s="255">
        <f>+'Panel de control'!$D$88</f>
        <v>0</v>
      </c>
      <c r="F9" s="103">
        <f t="shared" si="2"/>
        <v>0</v>
      </c>
      <c r="G9" s="255"/>
      <c r="H9" s="103">
        <f t="shared" si="3"/>
        <v>0</v>
      </c>
      <c r="I9" s="252" t="s">
        <v>1380</v>
      </c>
    </row>
    <row r="10" spans="1:9" x14ac:dyDescent="0.25">
      <c r="A10" t="s">
        <v>1384</v>
      </c>
      <c r="B10" s="258">
        <v>15853552596</v>
      </c>
      <c r="C10" s="103">
        <f t="shared" si="0"/>
        <v>6024349986.4799995</v>
      </c>
      <c r="D10" s="258">
        <f t="shared" si="1"/>
        <v>9829202609.5200005</v>
      </c>
      <c r="E10" s="255">
        <f>+'Panel de control'!$D$88</f>
        <v>0</v>
      </c>
      <c r="F10" s="103">
        <f t="shared" si="2"/>
        <v>0</v>
      </c>
      <c r="G10" s="255"/>
      <c r="H10" s="103">
        <f t="shared" si="3"/>
        <v>0</v>
      </c>
      <c r="I10" s="252" t="s">
        <v>1380</v>
      </c>
    </row>
    <row r="11" spans="1:9" x14ac:dyDescent="0.25">
      <c r="A11" t="s">
        <v>1355</v>
      </c>
      <c r="B11" s="258">
        <v>11186629961</v>
      </c>
      <c r="C11" s="103">
        <f t="shared" si="0"/>
        <v>4250919385.1800003</v>
      </c>
      <c r="D11" s="258">
        <f t="shared" si="1"/>
        <v>6935710575.8199997</v>
      </c>
      <c r="E11" s="255"/>
      <c r="F11" s="103">
        <f t="shared" si="2"/>
        <v>0</v>
      </c>
      <c r="G11" s="255">
        <f>+'Panel de control'!$D$89</f>
        <v>0</v>
      </c>
      <c r="H11" s="103">
        <f>+D11*G11</f>
        <v>0</v>
      </c>
      <c r="I11" s="252" t="s">
        <v>1395</v>
      </c>
    </row>
    <row r="12" spans="1:9" x14ac:dyDescent="0.25">
      <c r="A12" t="s">
        <v>1385</v>
      </c>
      <c r="B12" s="258">
        <v>6913123433</v>
      </c>
      <c r="C12" s="103">
        <f t="shared" si="0"/>
        <v>2626986904.54</v>
      </c>
      <c r="D12" s="258">
        <f t="shared" si="1"/>
        <v>4286136528.46</v>
      </c>
      <c r="E12" s="255">
        <f>+'Panel de control'!$D$88</f>
        <v>0</v>
      </c>
      <c r="F12" s="103">
        <f t="shared" si="2"/>
        <v>0</v>
      </c>
      <c r="G12" s="255"/>
      <c r="H12" s="103">
        <f t="shared" si="3"/>
        <v>0</v>
      </c>
      <c r="I12" s="252" t="s">
        <v>1380</v>
      </c>
    </row>
    <row r="13" spans="1:9" x14ac:dyDescent="0.25">
      <c r="A13" t="s">
        <v>1356</v>
      </c>
      <c r="B13" s="258">
        <v>5668949656</v>
      </c>
      <c r="C13" s="103">
        <f t="shared" si="0"/>
        <v>2154200869.2800002</v>
      </c>
      <c r="D13" s="258">
        <f t="shared" si="1"/>
        <v>3514748786.7199998</v>
      </c>
      <c r="E13" s="255">
        <f>+'Panel de control'!$D$88</f>
        <v>0</v>
      </c>
      <c r="F13" s="103">
        <f t="shared" si="2"/>
        <v>0</v>
      </c>
      <c r="G13" s="255"/>
      <c r="H13" s="103">
        <f t="shared" si="3"/>
        <v>0</v>
      </c>
      <c r="I13" s="252" t="s">
        <v>1380</v>
      </c>
    </row>
    <row r="14" spans="1:9" x14ac:dyDescent="0.25">
      <c r="A14" t="s">
        <v>1386</v>
      </c>
      <c r="B14" s="258">
        <v>3042248914</v>
      </c>
      <c r="C14" s="103">
        <f t="shared" si="0"/>
        <v>1156054587.3199999</v>
      </c>
      <c r="D14" s="258">
        <f t="shared" si="1"/>
        <v>1886194326.6800001</v>
      </c>
      <c r="E14" s="255">
        <f>+'Panel de control'!$D$88</f>
        <v>0</v>
      </c>
      <c r="F14" s="103">
        <f t="shared" si="2"/>
        <v>0</v>
      </c>
      <c r="G14" s="255"/>
      <c r="H14" s="103">
        <f t="shared" si="3"/>
        <v>0</v>
      </c>
      <c r="I14" s="252" t="s">
        <v>1380</v>
      </c>
    </row>
    <row r="15" spans="1:9" x14ac:dyDescent="0.25">
      <c r="A15" t="s">
        <v>1387</v>
      </c>
      <c r="B15" s="258">
        <v>2286008419</v>
      </c>
      <c r="C15" s="103">
        <f t="shared" si="0"/>
        <v>868683199.22000003</v>
      </c>
      <c r="D15" s="258">
        <f t="shared" si="1"/>
        <v>1417325219.78</v>
      </c>
      <c r="E15" s="255">
        <f>+'Panel de control'!$D$88</f>
        <v>0</v>
      </c>
      <c r="F15" s="103">
        <f t="shared" si="2"/>
        <v>0</v>
      </c>
      <c r="G15" s="255"/>
      <c r="H15" s="103">
        <f t="shared" si="3"/>
        <v>0</v>
      </c>
      <c r="I15" s="252" t="s">
        <v>1380</v>
      </c>
    </row>
    <row r="16" spans="1:9" x14ac:dyDescent="0.25">
      <c r="A16" t="s">
        <v>1357</v>
      </c>
      <c r="B16" s="258">
        <v>503803703</v>
      </c>
      <c r="C16" s="103">
        <f t="shared" si="0"/>
        <v>191445407.13999999</v>
      </c>
      <c r="D16" s="258">
        <f t="shared" si="1"/>
        <v>312358295.86000001</v>
      </c>
      <c r="E16" s="255">
        <f>+'Panel de control'!$D$88</f>
        <v>0</v>
      </c>
      <c r="F16" s="103">
        <f t="shared" si="2"/>
        <v>0</v>
      </c>
      <c r="G16" s="255"/>
      <c r="H16" s="103">
        <f t="shared" si="3"/>
        <v>0</v>
      </c>
      <c r="I16" s="252" t="s">
        <v>1380</v>
      </c>
    </row>
    <row r="17" spans="1:9" x14ac:dyDescent="0.25">
      <c r="A17" t="s">
        <v>1388</v>
      </c>
      <c r="B17" s="258">
        <v>1882252099</v>
      </c>
      <c r="C17" s="103">
        <f t="shared" si="0"/>
        <v>715255797.62000012</v>
      </c>
      <c r="D17" s="258">
        <f t="shared" si="1"/>
        <v>1166996301.3799999</v>
      </c>
      <c r="E17" s="255">
        <f>+'Panel de control'!$D$88</f>
        <v>0</v>
      </c>
      <c r="F17" s="103">
        <f t="shared" si="2"/>
        <v>0</v>
      </c>
      <c r="G17" s="255"/>
      <c r="H17" s="103">
        <f t="shared" si="3"/>
        <v>0</v>
      </c>
      <c r="I17" s="239" t="s">
        <v>1380</v>
      </c>
    </row>
    <row r="18" spans="1:9" x14ac:dyDescent="0.25">
      <c r="A18" t="s">
        <v>1389</v>
      </c>
      <c r="B18" s="258">
        <v>1448934419</v>
      </c>
      <c r="C18" s="103">
        <f t="shared" si="0"/>
        <v>550595079.22000003</v>
      </c>
      <c r="D18" s="258">
        <f t="shared" si="1"/>
        <v>898339339.77999997</v>
      </c>
      <c r="E18" s="255">
        <f>+'Panel de control'!$D$88</f>
        <v>0</v>
      </c>
      <c r="F18" s="103">
        <f t="shared" si="2"/>
        <v>0</v>
      </c>
      <c r="G18" s="255"/>
      <c r="H18" s="103">
        <f t="shared" si="3"/>
        <v>0</v>
      </c>
      <c r="I18" s="252" t="s">
        <v>1380</v>
      </c>
    </row>
    <row r="19" spans="1:9" x14ac:dyDescent="0.25">
      <c r="A19" t="s">
        <v>1390</v>
      </c>
      <c r="B19" s="258">
        <v>1280756836</v>
      </c>
      <c r="C19" s="103">
        <f t="shared" si="0"/>
        <v>486687597.67999995</v>
      </c>
      <c r="D19" s="258">
        <f t="shared" si="1"/>
        <v>794069238.32000005</v>
      </c>
      <c r="E19" s="255">
        <f>+'Panel de control'!$D$88</f>
        <v>0</v>
      </c>
      <c r="F19" s="103">
        <f t="shared" si="2"/>
        <v>0</v>
      </c>
      <c r="G19" s="255"/>
      <c r="H19" s="103">
        <f t="shared" si="3"/>
        <v>0</v>
      </c>
      <c r="I19" s="252" t="s">
        <v>1380</v>
      </c>
    </row>
    <row r="20" spans="1:9" x14ac:dyDescent="0.25">
      <c r="A20" t="s">
        <v>1391</v>
      </c>
      <c r="B20" s="258">
        <v>707162174</v>
      </c>
      <c r="C20" s="103">
        <f t="shared" si="0"/>
        <v>268721626.12</v>
      </c>
      <c r="D20" s="258">
        <f t="shared" si="1"/>
        <v>438440547.88</v>
      </c>
      <c r="E20" s="255">
        <f>+'Panel de control'!$D$88</f>
        <v>0</v>
      </c>
      <c r="F20" s="103">
        <f t="shared" si="2"/>
        <v>0</v>
      </c>
      <c r="G20" s="255"/>
      <c r="H20" s="103">
        <f t="shared" si="3"/>
        <v>0</v>
      </c>
      <c r="I20" s="252" t="s">
        <v>1380</v>
      </c>
    </row>
    <row r="21" spans="1:9" x14ac:dyDescent="0.25">
      <c r="A21" t="s">
        <v>1392</v>
      </c>
      <c r="B21" s="258">
        <v>555514840</v>
      </c>
      <c r="C21" s="103">
        <f t="shared" si="0"/>
        <v>211095639.19999999</v>
      </c>
      <c r="D21" s="258">
        <f t="shared" si="1"/>
        <v>344419200.80000001</v>
      </c>
      <c r="E21" s="255">
        <f>+'Panel de control'!$D$88</f>
        <v>0</v>
      </c>
      <c r="F21" s="103">
        <f t="shared" si="2"/>
        <v>0</v>
      </c>
      <c r="G21" s="255"/>
      <c r="H21" s="103">
        <f t="shared" si="3"/>
        <v>0</v>
      </c>
      <c r="I21" s="252" t="s">
        <v>1380</v>
      </c>
    </row>
    <row r="22" spans="1:9" x14ac:dyDescent="0.25">
      <c r="A22" t="s">
        <v>1393</v>
      </c>
      <c r="B22" s="258">
        <v>541295346</v>
      </c>
      <c r="C22" s="103">
        <f t="shared" si="0"/>
        <v>205692231.48000002</v>
      </c>
      <c r="D22" s="258">
        <f t="shared" si="1"/>
        <v>335603114.51999998</v>
      </c>
      <c r="E22" s="255">
        <f>+'Panel de control'!$D$88</f>
        <v>0</v>
      </c>
      <c r="F22" s="103">
        <f t="shared" si="2"/>
        <v>0</v>
      </c>
      <c r="G22" s="255"/>
      <c r="H22" s="103">
        <f t="shared" si="3"/>
        <v>0</v>
      </c>
      <c r="I22" s="252" t="s">
        <v>1380</v>
      </c>
    </row>
    <row r="23" spans="1:9" s="16" customFormat="1" x14ac:dyDescent="0.25">
      <c r="A23" s="16" t="s">
        <v>1394</v>
      </c>
      <c r="B23" s="12">
        <f>SUM(B5:B22)</f>
        <v>340215438473</v>
      </c>
      <c r="C23" s="12">
        <f>SUM(C5:C22)</f>
        <v>129281866619.73996</v>
      </c>
      <c r="D23" s="12">
        <f>SUM(D5:D22)</f>
        <v>210933571853.25995</v>
      </c>
      <c r="E23" s="253"/>
      <c r="F23" s="12">
        <f>SUM(F5:F22)</f>
        <v>0</v>
      </c>
      <c r="G23" s="12"/>
      <c r="H23" s="12">
        <f>SUM(H5:H22)</f>
        <v>0</v>
      </c>
      <c r="I23" s="251"/>
    </row>
    <row r="24" spans="1:9" s="16" customFormat="1" x14ac:dyDescent="0.25">
      <c r="A24" s="281" t="s">
        <v>1479</v>
      </c>
      <c r="B24" s="12">
        <f>+B23-B6-B8-B11</f>
        <v>233875787588</v>
      </c>
      <c r="C24" s="12">
        <f>+C23-C6-C8-C11</f>
        <v>88872799283.439941</v>
      </c>
      <c r="D24" s="12">
        <f>+D23-D6-D8-D11</f>
        <v>145002988304.55994</v>
      </c>
      <c r="E24" s="253"/>
      <c r="F24" s="12"/>
      <c r="G24" s="12"/>
      <c r="H24" s="12"/>
      <c r="I24" s="251"/>
    </row>
    <row r="26" spans="1:9" s="16" customFormat="1" x14ac:dyDescent="0.25">
      <c r="A26" s="16" t="s">
        <v>1426</v>
      </c>
      <c r="B26" s="12"/>
      <c r="C26" s="12"/>
      <c r="D26" s="12">
        <f>IF(H23&gt;0,D6+D8+D11,0)</f>
        <v>0</v>
      </c>
      <c r="E26" s="253"/>
      <c r="F26" s="12"/>
      <c r="G26" s="12"/>
      <c r="H26" s="12"/>
      <c r="I26" s="251"/>
    </row>
    <row r="28" spans="1:9" x14ac:dyDescent="0.25">
      <c r="A28" t="s">
        <v>1480</v>
      </c>
    </row>
    <row r="29" spans="1:9" x14ac:dyDescent="0.25">
      <c r="A29" t="s">
        <v>1481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/>
  <dimension ref="A1:I372"/>
  <sheetViews>
    <sheetView zoomScaleNormal="100" zoomScaleSheetLayoutView="10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E2" sqref="E2"/>
    </sheetView>
  </sheetViews>
  <sheetFormatPr baseColWidth="10" defaultColWidth="11.42578125" defaultRowHeight="12" x14ac:dyDescent="0.2"/>
  <cols>
    <col min="1" max="1" width="17.42578125" style="41" customWidth="1"/>
    <col min="2" max="2" width="14.28515625" style="24" customWidth="1"/>
    <col min="3" max="3" width="9.42578125" style="26" bestFit="1" customWidth="1"/>
    <col min="4" max="4" width="69.85546875" style="24" bestFit="1" customWidth="1"/>
    <col min="5" max="8" width="19" style="28" customWidth="1"/>
    <col min="9" max="9" width="14.7109375" style="24" bestFit="1" customWidth="1"/>
    <col min="10" max="16384" width="11.42578125" style="24"/>
  </cols>
  <sheetData>
    <row r="1" spans="1:8" s="16" customFormat="1" ht="15" x14ac:dyDescent="0.25">
      <c r="A1" s="14" t="s">
        <v>25</v>
      </c>
      <c r="B1" s="105" t="s">
        <v>990</v>
      </c>
      <c r="C1" s="14" t="s">
        <v>26</v>
      </c>
      <c r="D1" s="14" t="s">
        <v>27</v>
      </c>
      <c r="E1" s="15" t="s">
        <v>28</v>
      </c>
      <c r="F1" s="15" t="s">
        <v>29</v>
      </c>
      <c r="G1" s="15" t="s">
        <v>30</v>
      </c>
      <c r="H1" s="15" t="s">
        <v>31</v>
      </c>
    </row>
    <row r="2" spans="1:8" s="16" customFormat="1" ht="15" x14ac:dyDescent="0.25">
      <c r="A2" s="17" t="s">
        <v>32</v>
      </c>
      <c r="B2" s="106"/>
      <c r="C2" s="18">
        <v>1</v>
      </c>
      <c r="D2" s="17" t="s">
        <v>33</v>
      </c>
      <c r="E2" s="19">
        <v>190047779441</v>
      </c>
      <c r="F2" s="19">
        <v>233318009664</v>
      </c>
      <c r="G2" s="19">
        <v>311670526572</v>
      </c>
      <c r="H2" s="19">
        <v>340559027946</v>
      </c>
    </row>
    <row r="3" spans="1:8" ht="12.75" x14ac:dyDescent="0.2">
      <c r="A3" s="20" t="s">
        <v>34</v>
      </c>
      <c r="B3" s="22" t="s">
        <v>991</v>
      </c>
      <c r="C3" s="21">
        <v>2</v>
      </c>
      <c r="D3" s="22" t="s">
        <v>35</v>
      </c>
      <c r="E3" s="23">
        <v>6762481831</v>
      </c>
      <c r="F3" s="23">
        <v>15189324061</v>
      </c>
      <c r="G3" s="23">
        <v>15776347830</v>
      </c>
      <c r="H3" s="23">
        <v>25124482766</v>
      </c>
    </row>
    <row r="4" spans="1:8" x14ac:dyDescent="0.2">
      <c r="A4" s="25" t="s">
        <v>36</v>
      </c>
      <c r="C4" s="26">
        <v>4</v>
      </c>
      <c r="D4" s="25" t="s">
        <v>37</v>
      </c>
      <c r="E4" s="27">
        <v>0</v>
      </c>
      <c r="F4" s="28">
        <v>0</v>
      </c>
      <c r="G4" s="28">
        <v>0</v>
      </c>
      <c r="H4" s="28">
        <v>681274</v>
      </c>
    </row>
    <row r="5" spans="1:8" s="33" customFormat="1" x14ac:dyDescent="0.2">
      <c r="A5" s="29" t="s">
        <v>38</v>
      </c>
      <c r="C5" s="30">
        <v>6</v>
      </c>
      <c r="D5" s="29" t="s">
        <v>39</v>
      </c>
      <c r="E5" s="31">
        <v>0</v>
      </c>
      <c r="F5" s="32">
        <v>0</v>
      </c>
      <c r="G5" s="32">
        <v>0</v>
      </c>
      <c r="H5" s="32">
        <v>681274</v>
      </c>
    </row>
    <row r="6" spans="1:8" x14ac:dyDescent="0.2">
      <c r="A6" s="25" t="s">
        <v>40</v>
      </c>
      <c r="C6" s="26">
        <v>4</v>
      </c>
      <c r="D6" s="25" t="s">
        <v>41</v>
      </c>
      <c r="E6" s="28">
        <v>6762481831</v>
      </c>
      <c r="F6" s="28">
        <v>15189324061</v>
      </c>
      <c r="G6" s="28">
        <v>15776347830</v>
      </c>
      <c r="H6" s="28">
        <v>25123801492</v>
      </c>
    </row>
    <row r="7" spans="1:8" s="33" customFormat="1" x14ac:dyDescent="0.2">
      <c r="A7" s="29" t="s">
        <v>42</v>
      </c>
      <c r="C7" s="30">
        <v>6</v>
      </c>
      <c r="D7" s="34" t="s">
        <v>43</v>
      </c>
      <c r="E7" s="32">
        <v>677045769</v>
      </c>
      <c r="F7" s="32">
        <v>6941609229</v>
      </c>
      <c r="G7" s="32">
        <v>15776347830</v>
      </c>
      <c r="H7" s="32">
        <v>25123801492</v>
      </c>
    </row>
    <row r="8" spans="1:8" s="33" customFormat="1" x14ac:dyDescent="0.2">
      <c r="A8" s="29" t="s">
        <v>44</v>
      </c>
      <c r="C8" s="30">
        <v>6</v>
      </c>
      <c r="D8" s="34" t="s">
        <v>45</v>
      </c>
      <c r="E8" s="32">
        <v>6085436062</v>
      </c>
      <c r="F8" s="32">
        <v>8247714832</v>
      </c>
      <c r="G8" s="32">
        <v>0</v>
      </c>
      <c r="H8" s="32">
        <v>0</v>
      </c>
    </row>
    <row r="9" spans="1:8" ht="12.75" x14ac:dyDescent="0.2">
      <c r="A9" s="20" t="s">
        <v>46</v>
      </c>
      <c r="B9" s="22" t="s">
        <v>992</v>
      </c>
      <c r="C9" s="21">
        <v>2</v>
      </c>
      <c r="D9" s="22" t="s">
        <v>47</v>
      </c>
      <c r="E9" s="23">
        <v>3700000000</v>
      </c>
      <c r="F9" s="23">
        <v>5090000000</v>
      </c>
      <c r="G9" s="23">
        <v>23515190270</v>
      </c>
      <c r="H9" s="23">
        <v>20931943962</v>
      </c>
    </row>
    <row r="10" spans="1:8" x14ac:dyDescent="0.2">
      <c r="A10" s="25" t="s">
        <v>48</v>
      </c>
      <c r="C10" s="26">
        <v>4</v>
      </c>
      <c r="D10" s="35" t="s">
        <v>49</v>
      </c>
      <c r="E10" s="28">
        <v>0</v>
      </c>
      <c r="F10" s="28">
        <v>5090000000</v>
      </c>
      <c r="G10" s="28">
        <v>0</v>
      </c>
      <c r="H10" s="28">
        <v>0</v>
      </c>
    </row>
    <row r="11" spans="1:8" s="33" customFormat="1" x14ac:dyDescent="0.2">
      <c r="A11" s="29" t="s">
        <v>50</v>
      </c>
      <c r="C11" s="30">
        <v>6</v>
      </c>
      <c r="D11" s="34" t="s">
        <v>51</v>
      </c>
      <c r="E11" s="32">
        <v>0</v>
      </c>
      <c r="F11" s="32">
        <v>5090000000</v>
      </c>
      <c r="G11" s="32">
        <v>0</v>
      </c>
      <c r="H11" s="32">
        <v>0</v>
      </c>
    </row>
    <row r="12" spans="1:8" x14ac:dyDescent="0.2">
      <c r="A12" s="25" t="s">
        <v>52</v>
      </c>
      <c r="C12" s="26">
        <v>4</v>
      </c>
      <c r="D12" s="25" t="s">
        <v>53</v>
      </c>
      <c r="E12" s="28">
        <v>3700000000</v>
      </c>
      <c r="F12" s="28">
        <v>0</v>
      </c>
      <c r="G12" s="28">
        <v>0</v>
      </c>
      <c r="H12" s="28">
        <v>0</v>
      </c>
    </row>
    <row r="13" spans="1:8" s="33" customFormat="1" x14ac:dyDescent="0.2">
      <c r="A13" s="29" t="s">
        <v>54</v>
      </c>
      <c r="C13" s="30">
        <v>6</v>
      </c>
      <c r="D13" s="34" t="s">
        <v>55</v>
      </c>
      <c r="E13" s="32">
        <v>3700000000</v>
      </c>
      <c r="F13" s="32">
        <v>0</v>
      </c>
      <c r="G13" s="32">
        <v>0</v>
      </c>
      <c r="H13" s="32">
        <v>0</v>
      </c>
    </row>
    <row r="14" spans="1:8" x14ac:dyDescent="0.2">
      <c r="A14" s="25" t="s">
        <v>56</v>
      </c>
      <c r="C14" s="26">
        <v>4</v>
      </c>
      <c r="D14" s="25" t="s">
        <v>57</v>
      </c>
      <c r="E14" s="28">
        <v>0</v>
      </c>
      <c r="F14" s="28">
        <v>0</v>
      </c>
      <c r="G14" s="28">
        <v>23515190270</v>
      </c>
      <c r="H14" s="28">
        <v>20931943962</v>
      </c>
    </row>
    <row r="15" spans="1:8" ht="12.75" x14ac:dyDescent="0.2">
      <c r="A15" s="20" t="s">
        <v>58</v>
      </c>
      <c r="B15" s="22"/>
      <c r="C15" s="21">
        <v>2</v>
      </c>
      <c r="D15" s="22" t="s">
        <v>59</v>
      </c>
      <c r="E15" s="23">
        <v>0</v>
      </c>
      <c r="F15" s="23">
        <v>0</v>
      </c>
      <c r="G15" s="23">
        <v>226327325388</v>
      </c>
      <c r="H15" s="23">
        <v>248831647149</v>
      </c>
    </row>
    <row r="16" spans="1:8" x14ac:dyDescent="0.2">
      <c r="A16" s="25" t="s">
        <v>60</v>
      </c>
      <c r="C16" s="26">
        <v>4</v>
      </c>
      <c r="D16" s="25" t="s">
        <v>61</v>
      </c>
      <c r="E16" s="28">
        <v>0</v>
      </c>
      <c r="F16" s="28">
        <v>0</v>
      </c>
      <c r="G16" s="28">
        <v>229292006033</v>
      </c>
      <c r="H16" s="28">
        <v>253413093885</v>
      </c>
    </row>
    <row r="17" spans="1:8" s="33" customFormat="1" x14ac:dyDescent="0.2">
      <c r="A17" s="29" t="s">
        <v>62</v>
      </c>
      <c r="B17" s="33" t="s">
        <v>999</v>
      </c>
      <c r="C17" s="30">
        <v>6</v>
      </c>
      <c r="D17" s="36" t="s">
        <v>63</v>
      </c>
      <c r="E17" s="32">
        <v>0</v>
      </c>
      <c r="F17" s="32">
        <v>0</v>
      </c>
      <c r="G17" s="32">
        <v>288927793</v>
      </c>
      <c r="H17" s="32">
        <v>1241627343</v>
      </c>
    </row>
    <row r="18" spans="1:8" s="33" customFormat="1" x14ac:dyDescent="0.2">
      <c r="A18" s="29" t="s">
        <v>64</v>
      </c>
      <c r="B18" s="33" t="s">
        <v>997</v>
      </c>
      <c r="C18" s="30">
        <v>6</v>
      </c>
      <c r="D18" s="36" t="s">
        <v>65</v>
      </c>
      <c r="E18" s="32">
        <v>0</v>
      </c>
      <c r="F18" s="32">
        <v>0</v>
      </c>
      <c r="G18" s="32">
        <v>7921629663</v>
      </c>
      <c r="H18" s="32">
        <v>4848349813</v>
      </c>
    </row>
    <row r="19" spans="1:8" s="33" customFormat="1" x14ac:dyDescent="0.2">
      <c r="A19" s="29" t="s">
        <v>66</v>
      </c>
      <c r="B19" s="33" t="s">
        <v>995</v>
      </c>
      <c r="C19" s="30">
        <v>6</v>
      </c>
      <c r="D19" s="36" t="s">
        <v>67</v>
      </c>
      <c r="E19" s="32">
        <v>0</v>
      </c>
      <c r="F19" s="32">
        <v>0</v>
      </c>
      <c r="G19" s="32">
        <v>4537380446</v>
      </c>
      <c r="H19" s="32">
        <v>3013837646</v>
      </c>
    </row>
    <row r="20" spans="1:8" s="33" customFormat="1" x14ac:dyDescent="0.2">
      <c r="A20" s="29" t="s">
        <v>68</v>
      </c>
      <c r="B20" s="33" t="s">
        <v>996</v>
      </c>
      <c r="C20" s="30">
        <v>6</v>
      </c>
      <c r="D20" s="36" t="s">
        <v>69</v>
      </c>
      <c r="E20" s="32">
        <v>0</v>
      </c>
      <c r="F20" s="32">
        <v>0</v>
      </c>
      <c r="G20" s="32">
        <v>859678176</v>
      </c>
      <c r="H20" s="32">
        <v>859678176</v>
      </c>
    </row>
    <row r="21" spans="1:8" s="33" customFormat="1" x14ac:dyDescent="0.2">
      <c r="A21" s="29" t="s">
        <v>70</v>
      </c>
      <c r="B21" s="33" t="s">
        <v>993</v>
      </c>
      <c r="C21" s="30">
        <v>6</v>
      </c>
      <c r="D21" s="36" t="s">
        <v>71</v>
      </c>
      <c r="E21" s="32">
        <v>0</v>
      </c>
      <c r="F21" s="32">
        <v>0</v>
      </c>
      <c r="G21" s="32">
        <v>25926371412</v>
      </c>
      <c r="H21" s="32">
        <v>26866145248</v>
      </c>
    </row>
    <row r="22" spans="1:8" s="33" customFormat="1" x14ac:dyDescent="0.2">
      <c r="A22" s="29" t="s">
        <v>72</v>
      </c>
      <c r="B22" s="33" t="s">
        <v>994</v>
      </c>
      <c r="C22" s="30">
        <v>6</v>
      </c>
      <c r="D22" s="36" t="s">
        <v>73</v>
      </c>
      <c r="E22" s="32">
        <v>0</v>
      </c>
      <c r="F22" s="32">
        <v>0</v>
      </c>
      <c r="G22" s="32">
        <v>146790210063</v>
      </c>
      <c r="H22" s="32">
        <v>173211212259</v>
      </c>
    </row>
    <row r="23" spans="1:8" s="33" customFormat="1" x14ac:dyDescent="0.2">
      <c r="A23" s="29" t="s">
        <v>74</v>
      </c>
      <c r="B23" s="33" t="s">
        <v>999</v>
      </c>
      <c r="C23" s="30">
        <v>6</v>
      </c>
      <c r="D23" s="36" t="s">
        <v>75</v>
      </c>
      <c r="E23" s="32">
        <v>0</v>
      </c>
      <c r="F23" s="32">
        <v>0</v>
      </c>
      <c r="G23" s="32">
        <v>921485</v>
      </c>
      <c r="H23" s="32">
        <v>921485</v>
      </c>
    </row>
    <row r="24" spans="1:8" s="33" customFormat="1" x14ac:dyDescent="0.2">
      <c r="A24" s="29" t="s">
        <v>76</v>
      </c>
      <c r="B24" s="33" t="s">
        <v>998</v>
      </c>
      <c r="C24" s="30">
        <v>6</v>
      </c>
      <c r="D24" s="36" t="s">
        <v>77</v>
      </c>
      <c r="E24" s="32">
        <v>0</v>
      </c>
      <c r="F24" s="32">
        <v>0</v>
      </c>
      <c r="G24" s="32">
        <v>42966886995</v>
      </c>
      <c r="H24" s="32">
        <v>43371321915</v>
      </c>
    </row>
    <row r="25" spans="1:8" x14ac:dyDescent="0.2">
      <c r="A25" s="25" t="s">
        <v>78</v>
      </c>
      <c r="C25" s="26">
        <v>4</v>
      </c>
      <c r="D25" s="25" t="s">
        <v>79</v>
      </c>
      <c r="E25" s="28">
        <v>0</v>
      </c>
      <c r="F25" s="28">
        <v>0</v>
      </c>
      <c r="G25" s="28">
        <v>664097297</v>
      </c>
      <c r="H25" s="28">
        <v>666422412</v>
      </c>
    </row>
    <row r="26" spans="1:8" s="33" customFormat="1" x14ac:dyDescent="0.2">
      <c r="A26" s="29" t="s">
        <v>80</v>
      </c>
      <c r="B26" s="33" t="s">
        <v>999</v>
      </c>
      <c r="C26" s="30">
        <v>6</v>
      </c>
      <c r="D26" s="36" t="s">
        <v>79</v>
      </c>
      <c r="E26" s="32">
        <v>0</v>
      </c>
      <c r="F26" s="32">
        <v>0</v>
      </c>
      <c r="G26" s="32">
        <v>664097297</v>
      </c>
      <c r="H26" s="32">
        <v>666422412</v>
      </c>
    </row>
    <row r="27" spans="1:8" x14ac:dyDescent="0.2">
      <c r="A27" s="25" t="s">
        <v>81</v>
      </c>
      <c r="C27" s="26">
        <v>4</v>
      </c>
      <c r="D27" s="25" t="s">
        <v>82</v>
      </c>
      <c r="E27" s="28">
        <v>0</v>
      </c>
      <c r="F27" s="28">
        <v>0</v>
      </c>
      <c r="G27" s="28">
        <v>-3628777942</v>
      </c>
      <c r="H27" s="28">
        <v>-5247869148</v>
      </c>
    </row>
    <row r="28" spans="1:8" s="33" customFormat="1" x14ac:dyDescent="0.2">
      <c r="A28" s="29" t="s">
        <v>83</v>
      </c>
      <c r="B28" s="33" t="s">
        <v>1000</v>
      </c>
      <c r="C28" s="30">
        <v>6</v>
      </c>
      <c r="D28" s="36" t="s">
        <v>61</v>
      </c>
      <c r="E28" s="32">
        <v>0</v>
      </c>
      <c r="F28" s="32">
        <v>0</v>
      </c>
      <c r="G28" s="32">
        <v>-3594298835</v>
      </c>
      <c r="H28" s="32">
        <v>-5205873273</v>
      </c>
    </row>
    <row r="29" spans="1:8" s="33" customFormat="1" x14ac:dyDescent="0.2">
      <c r="A29" s="29" t="s">
        <v>84</v>
      </c>
      <c r="B29" s="33" t="s">
        <v>1000</v>
      </c>
      <c r="C29" s="30">
        <v>6</v>
      </c>
      <c r="D29" s="36" t="s">
        <v>85</v>
      </c>
      <c r="E29" s="32">
        <v>0</v>
      </c>
      <c r="F29" s="32">
        <v>0</v>
      </c>
      <c r="G29" s="32">
        <v>-34479107</v>
      </c>
      <c r="H29" s="32">
        <v>-41995875</v>
      </c>
    </row>
    <row r="30" spans="1:8" ht="12.75" x14ac:dyDescent="0.2">
      <c r="A30" s="20" t="s">
        <v>86</v>
      </c>
      <c r="B30" s="22"/>
      <c r="C30" s="21">
        <v>2</v>
      </c>
      <c r="D30" s="22" t="s">
        <v>87</v>
      </c>
      <c r="E30" s="23">
        <v>157675054354</v>
      </c>
      <c r="F30" s="23">
        <v>190809174254</v>
      </c>
      <c r="G30" s="23">
        <v>0</v>
      </c>
      <c r="H30" s="23">
        <v>0</v>
      </c>
    </row>
    <row r="31" spans="1:8" x14ac:dyDescent="0.2">
      <c r="A31" s="25" t="s">
        <v>88</v>
      </c>
      <c r="C31" s="26">
        <v>4</v>
      </c>
      <c r="D31" s="25" t="s">
        <v>61</v>
      </c>
      <c r="E31" s="28">
        <v>123588091534</v>
      </c>
      <c r="F31" s="28">
        <v>167068545734</v>
      </c>
      <c r="G31" s="28">
        <v>0</v>
      </c>
      <c r="H31" s="28">
        <v>0</v>
      </c>
    </row>
    <row r="32" spans="1:8" s="33" customFormat="1" x14ac:dyDescent="0.2">
      <c r="A32" s="29" t="s">
        <v>89</v>
      </c>
      <c r="B32" s="33" t="s">
        <v>999</v>
      </c>
      <c r="C32" s="30">
        <v>6</v>
      </c>
      <c r="D32" s="34" t="s">
        <v>90</v>
      </c>
      <c r="E32" s="32">
        <v>498210266</v>
      </c>
      <c r="F32" s="32">
        <v>88910184</v>
      </c>
      <c r="G32" s="32">
        <v>0</v>
      </c>
      <c r="H32" s="32">
        <v>0</v>
      </c>
    </row>
    <row r="33" spans="1:8" s="33" customFormat="1" x14ac:dyDescent="0.2">
      <c r="A33" s="29" t="s">
        <v>91</v>
      </c>
      <c r="B33" s="33" t="s">
        <v>997</v>
      </c>
      <c r="C33" s="30">
        <v>6</v>
      </c>
      <c r="D33" s="34" t="s">
        <v>65</v>
      </c>
      <c r="E33" s="32">
        <v>6537408745</v>
      </c>
      <c r="F33" s="32">
        <v>8006883218</v>
      </c>
      <c r="G33" s="32">
        <v>0</v>
      </c>
      <c r="H33" s="32">
        <v>0</v>
      </c>
    </row>
    <row r="34" spans="1:8" s="33" customFormat="1" x14ac:dyDescent="0.2">
      <c r="A34" s="29" t="s">
        <v>92</v>
      </c>
      <c r="B34" s="33" t="s">
        <v>995</v>
      </c>
      <c r="C34" s="30">
        <v>6</v>
      </c>
      <c r="D34" s="34" t="s">
        <v>93</v>
      </c>
      <c r="E34" s="32">
        <v>469567433</v>
      </c>
      <c r="F34" s="32">
        <v>1452749789</v>
      </c>
      <c r="G34" s="32">
        <v>0</v>
      </c>
      <c r="H34" s="32">
        <v>0</v>
      </c>
    </row>
    <row r="35" spans="1:8" s="33" customFormat="1" x14ac:dyDescent="0.2">
      <c r="A35" s="29" t="s">
        <v>94</v>
      </c>
      <c r="B35" s="33" t="s">
        <v>996</v>
      </c>
      <c r="C35" s="30">
        <v>6</v>
      </c>
      <c r="D35" s="29" t="s">
        <v>95</v>
      </c>
      <c r="E35" s="32">
        <v>3888556016</v>
      </c>
      <c r="F35" s="32">
        <v>859678176</v>
      </c>
      <c r="G35" s="32">
        <v>0</v>
      </c>
      <c r="H35" s="32">
        <v>0</v>
      </c>
    </row>
    <row r="36" spans="1:8" s="33" customFormat="1" x14ac:dyDescent="0.2">
      <c r="A36" s="29" t="s">
        <v>96</v>
      </c>
      <c r="B36" s="33" t="s">
        <v>993</v>
      </c>
      <c r="C36" s="30">
        <v>6</v>
      </c>
      <c r="D36" s="29" t="s">
        <v>71</v>
      </c>
      <c r="E36" s="32">
        <v>16218891608</v>
      </c>
      <c r="F36" s="32">
        <v>31258196065</v>
      </c>
      <c r="G36" s="32">
        <v>0</v>
      </c>
      <c r="H36" s="32">
        <v>0</v>
      </c>
    </row>
    <row r="37" spans="1:8" s="33" customFormat="1" x14ac:dyDescent="0.2">
      <c r="A37" s="29" t="s">
        <v>97</v>
      </c>
      <c r="B37" s="33" t="s">
        <v>994</v>
      </c>
      <c r="C37" s="30">
        <v>6</v>
      </c>
      <c r="D37" s="29" t="s">
        <v>73</v>
      </c>
      <c r="E37" s="32">
        <v>62334734215</v>
      </c>
      <c r="F37" s="32">
        <v>90240603705</v>
      </c>
      <c r="G37" s="32">
        <v>0</v>
      </c>
      <c r="H37" s="32">
        <v>0</v>
      </c>
    </row>
    <row r="38" spans="1:8" s="33" customFormat="1" x14ac:dyDescent="0.2">
      <c r="A38" s="29" t="s">
        <v>98</v>
      </c>
      <c r="B38" s="33" t="s">
        <v>998</v>
      </c>
      <c r="C38" s="30">
        <v>6</v>
      </c>
      <c r="D38" s="29" t="s">
        <v>77</v>
      </c>
      <c r="E38" s="32">
        <v>33640723251</v>
      </c>
      <c r="F38" s="32">
        <v>35161524597</v>
      </c>
      <c r="G38" s="32">
        <v>0</v>
      </c>
      <c r="H38" s="32">
        <v>0</v>
      </c>
    </row>
    <row r="39" spans="1:8" x14ac:dyDescent="0.2">
      <c r="A39" s="25" t="s">
        <v>99</v>
      </c>
      <c r="B39" s="24" t="s">
        <v>1003</v>
      </c>
      <c r="C39" s="26">
        <v>4</v>
      </c>
      <c r="D39" s="25" t="s">
        <v>100</v>
      </c>
      <c r="E39" s="28">
        <v>44870773537</v>
      </c>
      <c r="F39" s="28">
        <v>33614782341</v>
      </c>
      <c r="G39" s="28">
        <v>0</v>
      </c>
      <c r="H39" s="28">
        <v>0</v>
      </c>
    </row>
    <row r="40" spans="1:8" s="33" customFormat="1" x14ac:dyDescent="0.2">
      <c r="A40" s="29" t="s">
        <v>101</v>
      </c>
      <c r="C40" s="30">
        <v>6</v>
      </c>
      <c r="D40" s="29" t="s">
        <v>102</v>
      </c>
      <c r="E40" s="32">
        <v>0</v>
      </c>
      <c r="F40" s="32">
        <v>7820000</v>
      </c>
      <c r="G40" s="32">
        <v>0</v>
      </c>
      <c r="H40" s="32">
        <v>0</v>
      </c>
    </row>
    <row r="41" spans="1:8" s="33" customFormat="1" x14ac:dyDescent="0.2">
      <c r="A41" s="29" t="s">
        <v>103</v>
      </c>
      <c r="C41" s="30">
        <v>6</v>
      </c>
      <c r="D41" s="29" t="s">
        <v>104</v>
      </c>
      <c r="E41" s="32">
        <v>44870773537</v>
      </c>
      <c r="F41" s="32">
        <v>33606962341</v>
      </c>
      <c r="G41" s="32">
        <v>0</v>
      </c>
      <c r="H41" s="32">
        <v>0</v>
      </c>
    </row>
    <row r="42" spans="1:8" x14ac:dyDescent="0.2">
      <c r="A42" s="25" t="s">
        <v>105</v>
      </c>
      <c r="C42" s="26">
        <v>4</v>
      </c>
      <c r="D42" s="25" t="s">
        <v>106</v>
      </c>
      <c r="E42" s="28">
        <v>81125258</v>
      </c>
      <c r="F42" s="28">
        <v>138439758</v>
      </c>
      <c r="G42" s="28">
        <v>0</v>
      </c>
      <c r="H42" s="28">
        <v>0</v>
      </c>
    </row>
    <row r="43" spans="1:8" s="33" customFormat="1" x14ac:dyDescent="0.2">
      <c r="A43" s="29" t="s">
        <v>107</v>
      </c>
      <c r="B43" s="33" t="s">
        <v>999</v>
      </c>
      <c r="C43" s="30">
        <v>6</v>
      </c>
      <c r="D43" s="29" t="s">
        <v>108</v>
      </c>
      <c r="E43" s="32">
        <v>81125258</v>
      </c>
      <c r="F43" s="32">
        <v>138439758</v>
      </c>
      <c r="G43" s="32">
        <v>0</v>
      </c>
      <c r="H43" s="32">
        <v>0</v>
      </c>
    </row>
    <row r="44" spans="1:8" x14ac:dyDescent="0.2">
      <c r="A44" s="25" t="s">
        <v>109</v>
      </c>
      <c r="B44" s="24" t="s">
        <v>1054</v>
      </c>
      <c r="C44" s="26">
        <v>4</v>
      </c>
      <c r="D44" s="25" t="s">
        <v>110</v>
      </c>
      <c r="E44" s="28">
        <v>0</v>
      </c>
      <c r="F44" s="28">
        <v>961610946</v>
      </c>
      <c r="G44" s="28">
        <v>0</v>
      </c>
      <c r="H44" s="28">
        <v>0</v>
      </c>
    </row>
    <row r="45" spans="1:8" s="33" customFormat="1" x14ac:dyDescent="0.2">
      <c r="A45" s="29" t="s">
        <v>111</v>
      </c>
      <c r="C45" s="30">
        <v>6</v>
      </c>
      <c r="D45" s="29" t="s">
        <v>112</v>
      </c>
      <c r="E45" s="32">
        <v>0</v>
      </c>
      <c r="F45" s="32">
        <v>7474000</v>
      </c>
      <c r="G45" s="32">
        <v>0</v>
      </c>
      <c r="H45" s="32">
        <v>0</v>
      </c>
    </row>
    <row r="46" spans="1:8" s="33" customFormat="1" x14ac:dyDescent="0.2">
      <c r="A46" s="29" t="s">
        <v>113</v>
      </c>
      <c r="C46" s="30">
        <v>6</v>
      </c>
      <c r="D46" s="29" t="s">
        <v>114</v>
      </c>
      <c r="E46" s="32">
        <v>0</v>
      </c>
      <c r="F46" s="32">
        <v>954136946</v>
      </c>
      <c r="G46" s="32">
        <v>0</v>
      </c>
      <c r="H46" s="32">
        <v>0</v>
      </c>
    </row>
    <row r="47" spans="1:8" x14ac:dyDescent="0.2">
      <c r="A47" s="25" t="s">
        <v>115</v>
      </c>
      <c r="C47" s="26">
        <v>4</v>
      </c>
      <c r="D47" s="25" t="s">
        <v>116</v>
      </c>
      <c r="E47" s="28">
        <v>252753665</v>
      </c>
      <c r="F47" s="28">
        <v>462272046</v>
      </c>
      <c r="G47" s="28">
        <v>0</v>
      </c>
      <c r="H47" s="28">
        <v>0</v>
      </c>
    </row>
    <row r="48" spans="1:8" s="33" customFormat="1" x14ac:dyDescent="0.2">
      <c r="A48" s="29" t="s">
        <v>117</v>
      </c>
      <c r="B48" s="33" t="s">
        <v>999</v>
      </c>
      <c r="C48" s="30">
        <v>6</v>
      </c>
      <c r="D48" s="29" t="s">
        <v>118</v>
      </c>
      <c r="E48" s="32">
        <v>8916919</v>
      </c>
      <c r="F48" s="32">
        <v>96746051</v>
      </c>
      <c r="G48" s="32">
        <v>0</v>
      </c>
      <c r="H48" s="32">
        <v>0</v>
      </c>
    </row>
    <row r="49" spans="1:8" s="33" customFormat="1" x14ac:dyDescent="0.2">
      <c r="A49" s="29" t="s">
        <v>119</v>
      </c>
      <c r="B49" s="33" t="s">
        <v>999</v>
      </c>
      <c r="C49" s="30">
        <v>6</v>
      </c>
      <c r="D49" s="29" t="s">
        <v>116</v>
      </c>
      <c r="E49" s="32">
        <v>243836746</v>
      </c>
      <c r="F49" s="32">
        <v>365525995</v>
      </c>
      <c r="G49" s="32">
        <v>0</v>
      </c>
      <c r="H49" s="32">
        <v>0</v>
      </c>
    </row>
    <row r="50" spans="1:8" x14ac:dyDescent="0.2">
      <c r="A50" s="25" t="s">
        <v>120</v>
      </c>
      <c r="C50" s="26">
        <v>4</v>
      </c>
      <c r="D50" s="25" t="s">
        <v>121</v>
      </c>
      <c r="E50" s="28">
        <v>498519138</v>
      </c>
      <c r="F50" s="28">
        <v>583954584</v>
      </c>
      <c r="G50" s="28">
        <v>0</v>
      </c>
      <c r="H50" s="28">
        <v>0</v>
      </c>
    </row>
    <row r="51" spans="1:8" s="33" customFormat="1" x14ac:dyDescent="0.2">
      <c r="A51" s="29" t="s">
        <v>122</v>
      </c>
      <c r="B51" s="33" t="s">
        <v>999</v>
      </c>
      <c r="C51" s="30">
        <v>6</v>
      </c>
      <c r="D51" s="29" t="s">
        <v>61</v>
      </c>
      <c r="E51" s="32">
        <v>498519138</v>
      </c>
      <c r="F51" s="32">
        <v>583954584</v>
      </c>
      <c r="G51" s="32">
        <v>0</v>
      </c>
      <c r="H51" s="32">
        <v>0</v>
      </c>
    </row>
    <row r="52" spans="1:8" x14ac:dyDescent="0.2">
      <c r="A52" s="25" t="s">
        <v>123</v>
      </c>
      <c r="C52" s="26">
        <v>4</v>
      </c>
      <c r="D52" s="25" t="s">
        <v>124</v>
      </c>
      <c r="E52" s="28">
        <v>-11616208778</v>
      </c>
      <c r="F52" s="28">
        <v>-12020431155</v>
      </c>
      <c r="G52" s="28">
        <v>0</v>
      </c>
      <c r="H52" s="28">
        <v>0</v>
      </c>
    </row>
    <row r="53" spans="1:8" s="33" customFormat="1" x14ac:dyDescent="0.2">
      <c r="A53" s="29" t="s">
        <v>125</v>
      </c>
      <c r="B53" s="33" t="s">
        <v>1000</v>
      </c>
      <c r="C53" s="30">
        <v>6</v>
      </c>
      <c r="D53" s="29" t="s">
        <v>61</v>
      </c>
      <c r="E53" s="32">
        <v>-11616208778</v>
      </c>
      <c r="F53" s="32">
        <v>-12020431155</v>
      </c>
      <c r="G53" s="32">
        <v>0</v>
      </c>
      <c r="H53" s="32">
        <v>0</v>
      </c>
    </row>
    <row r="54" spans="1:8" ht="12.75" x14ac:dyDescent="0.2">
      <c r="A54" s="20" t="s">
        <v>126</v>
      </c>
      <c r="B54" s="22"/>
      <c r="C54" s="21">
        <v>2</v>
      </c>
      <c r="D54" s="22" t="s">
        <v>127</v>
      </c>
      <c r="E54" s="23">
        <v>186657194</v>
      </c>
      <c r="F54" s="23">
        <v>749712579</v>
      </c>
      <c r="G54" s="23">
        <v>811293776</v>
      </c>
      <c r="H54" s="23">
        <v>770545735</v>
      </c>
    </row>
    <row r="55" spans="1:8" x14ac:dyDescent="0.2">
      <c r="A55" s="25" t="s">
        <v>128</v>
      </c>
      <c r="B55" s="24" t="s">
        <v>1001</v>
      </c>
      <c r="C55" s="26">
        <v>4</v>
      </c>
      <c r="D55" s="25" t="s">
        <v>129</v>
      </c>
      <c r="E55" s="28">
        <v>241173910</v>
      </c>
      <c r="F55" s="28">
        <v>804950342</v>
      </c>
      <c r="G55" s="28">
        <v>838369397</v>
      </c>
      <c r="H55" s="28">
        <v>845025880</v>
      </c>
    </row>
    <row r="56" spans="1:8" s="33" customFormat="1" x14ac:dyDescent="0.2">
      <c r="A56" s="29" t="s">
        <v>130</v>
      </c>
      <c r="C56" s="30">
        <v>6</v>
      </c>
      <c r="D56" s="29" t="s">
        <v>131</v>
      </c>
      <c r="E56" s="32">
        <v>202920081</v>
      </c>
      <c r="F56" s="32">
        <v>748318711</v>
      </c>
      <c r="G56" s="32">
        <v>791294205</v>
      </c>
      <c r="H56" s="32">
        <v>796681805</v>
      </c>
    </row>
    <row r="57" spans="1:8" s="33" customFormat="1" x14ac:dyDescent="0.2">
      <c r="A57" s="29" t="s">
        <v>132</v>
      </c>
      <c r="C57" s="30">
        <v>6</v>
      </c>
      <c r="D57" s="29" t="s">
        <v>133</v>
      </c>
      <c r="E57" s="32">
        <v>38253829</v>
      </c>
      <c r="F57" s="32">
        <v>56631631</v>
      </c>
      <c r="G57" s="32">
        <v>47075192</v>
      </c>
      <c r="H57" s="32">
        <v>48344075</v>
      </c>
    </row>
    <row r="58" spans="1:8" x14ac:dyDescent="0.2">
      <c r="A58" s="25" t="s">
        <v>134</v>
      </c>
      <c r="B58" s="24" t="s">
        <v>1001</v>
      </c>
      <c r="C58" s="26">
        <v>4</v>
      </c>
      <c r="D58" s="25" t="s">
        <v>135</v>
      </c>
      <c r="E58" s="28">
        <v>124146110</v>
      </c>
      <c r="F58" s="28">
        <v>163730501</v>
      </c>
      <c r="G58" s="28">
        <v>75877721</v>
      </c>
      <c r="H58" s="28">
        <v>75877721</v>
      </c>
    </row>
    <row r="59" spans="1:8" s="33" customFormat="1" x14ac:dyDescent="0.2">
      <c r="A59" s="29" t="s">
        <v>136</v>
      </c>
      <c r="C59" s="30">
        <v>6</v>
      </c>
      <c r="D59" s="29" t="s">
        <v>137</v>
      </c>
      <c r="E59" s="32">
        <v>40846140</v>
      </c>
      <c r="F59" s="32">
        <v>63910229</v>
      </c>
      <c r="G59" s="32">
        <v>28974284</v>
      </c>
      <c r="H59" s="32">
        <v>28974284</v>
      </c>
    </row>
    <row r="60" spans="1:8" s="33" customFormat="1" x14ac:dyDescent="0.2">
      <c r="A60" s="29" t="s">
        <v>138</v>
      </c>
      <c r="C60" s="30">
        <v>6</v>
      </c>
      <c r="D60" s="29" t="s">
        <v>139</v>
      </c>
      <c r="E60" s="32">
        <v>83299970</v>
      </c>
      <c r="F60" s="32">
        <v>99820272</v>
      </c>
      <c r="G60" s="32">
        <v>46903437</v>
      </c>
      <c r="H60" s="32">
        <v>46903437</v>
      </c>
    </row>
    <row r="61" spans="1:8" x14ac:dyDescent="0.2">
      <c r="A61" s="25" t="s">
        <v>140</v>
      </c>
      <c r="B61" s="24" t="s">
        <v>1001</v>
      </c>
      <c r="C61" s="26">
        <v>4</v>
      </c>
      <c r="D61" s="25" t="s">
        <v>141</v>
      </c>
      <c r="E61" s="28">
        <v>8925239</v>
      </c>
      <c r="F61" s="28">
        <v>13306587</v>
      </c>
      <c r="G61" s="28">
        <v>1689800</v>
      </c>
      <c r="H61" s="28">
        <v>1689800</v>
      </c>
    </row>
    <row r="62" spans="1:8" s="33" customFormat="1" x14ac:dyDescent="0.2">
      <c r="A62" s="29" t="s">
        <v>142</v>
      </c>
      <c r="C62" s="30">
        <v>6</v>
      </c>
      <c r="D62" s="29" t="s">
        <v>143</v>
      </c>
      <c r="E62" s="32">
        <v>8925239</v>
      </c>
      <c r="F62" s="32">
        <v>13306587</v>
      </c>
      <c r="G62" s="32">
        <v>1689800</v>
      </c>
      <c r="H62" s="32">
        <v>1689800</v>
      </c>
    </row>
    <row r="63" spans="1:8" x14ac:dyDescent="0.2">
      <c r="A63" s="25" t="s">
        <v>144</v>
      </c>
      <c r="B63" s="24" t="s">
        <v>1002</v>
      </c>
      <c r="C63" s="26">
        <v>4</v>
      </c>
      <c r="D63" s="25" t="s">
        <v>145</v>
      </c>
      <c r="E63" s="28">
        <v>-187588065</v>
      </c>
      <c r="F63" s="28">
        <v>-232274851</v>
      </c>
      <c r="G63" s="28">
        <v>-104643142</v>
      </c>
      <c r="H63" s="28">
        <v>-152047666</v>
      </c>
    </row>
    <row r="64" spans="1:8" s="33" customFormat="1" x14ac:dyDescent="0.2">
      <c r="A64" s="29" t="s">
        <v>146</v>
      </c>
      <c r="C64" s="30">
        <v>6</v>
      </c>
      <c r="D64" s="29" t="s">
        <v>129</v>
      </c>
      <c r="E64" s="32">
        <v>-127235967</v>
      </c>
      <c r="F64" s="32">
        <v>-143907972</v>
      </c>
      <c r="G64" s="32">
        <v>-86050982</v>
      </c>
      <c r="H64" s="32">
        <v>-124193774</v>
      </c>
    </row>
    <row r="65" spans="1:8" s="33" customFormat="1" x14ac:dyDescent="0.2">
      <c r="A65" s="29" t="s">
        <v>147</v>
      </c>
      <c r="C65" s="30">
        <v>6</v>
      </c>
      <c r="D65" s="29" t="s">
        <v>135</v>
      </c>
      <c r="E65" s="32">
        <v>-56521543</v>
      </c>
      <c r="F65" s="32">
        <v>-76718707</v>
      </c>
      <c r="G65" s="32">
        <v>-18521752</v>
      </c>
      <c r="H65" s="32">
        <v>-27713076</v>
      </c>
    </row>
    <row r="66" spans="1:8" s="33" customFormat="1" x14ac:dyDescent="0.2">
      <c r="A66" s="29" t="s">
        <v>148</v>
      </c>
      <c r="C66" s="30">
        <v>6</v>
      </c>
      <c r="D66" s="29" t="s">
        <v>141</v>
      </c>
      <c r="E66" s="32">
        <v>-3830555</v>
      </c>
      <c r="F66" s="32">
        <v>-11648172</v>
      </c>
      <c r="G66" s="32">
        <v>-70408</v>
      </c>
      <c r="H66" s="32">
        <v>-140816</v>
      </c>
    </row>
    <row r="67" spans="1:8" ht="12.75" x14ac:dyDescent="0.2">
      <c r="A67" s="20" t="s">
        <v>149</v>
      </c>
      <c r="B67" s="22"/>
      <c r="C67" s="21">
        <v>2</v>
      </c>
      <c r="D67" s="22" t="s">
        <v>150</v>
      </c>
      <c r="E67" s="23">
        <v>21723586062</v>
      </c>
      <c r="F67" s="23">
        <v>21479798770</v>
      </c>
      <c r="G67" s="23">
        <v>45240369308</v>
      </c>
      <c r="H67" s="23">
        <v>44900408334</v>
      </c>
    </row>
    <row r="68" spans="1:8" x14ac:dyDescent="0.2">
      <c r="A68" s="25" t="s">
        <v>151</v>
      </c>
      <c r="B68" s="24" t="s">
        <v>1003</v>
      </c>
      <c r="C68" s="26">
        <v>4</v>
      </c>
      <c r="D68" s="25" t="s">
        <v>152</v>
      </c>
      <c r="E68" s="28">
        <v>22240533</v>
      </c>
      <c r="F68" s="28">
        <v>43385273</v>
      </c>
      <c r="G68" s="28">
        <v>0</v>
      </c>
      <c r="H68" s="28">
        <v>0</v>
      </c>
    </row>
    <row r="69" spans="1:8" s="33" customFormat="1" x14ac:dyDescent="0.2">
      <c r="A69" s="29" t="s">
        <v>153</v>
      </c>
      <c r="C69" s="30">
        <v>6</v>
      </c>
      <c r="D69" s="29" t="s">
        <v>154</v>
      </c>
      <c r="E69" s="32">
        <v>22240533</v>
      </c>
      <c r="F69" s="32">
        <v>43385273</v>
      </c>
      <c r="G69" s="32">
        <v>0</v>
      </c>
      <c r="H69" s="32">
        <v>0</v>
      </c>
    </row>
    <row r="70" spans="1:8" x14ac:dyDescent="0.2">
      <c r="A70" s="25" t="s">
        <v>155</v>
      </c>
      <c r="B70" s="24" t="s">
        <v>1003</v>
      </c>
      <c r="C70" s="26">
        <v>4</v>
      </c>
      <c r="D70" s="25" t="s">
        <v>100</v>
      </c>
      <c r="E70" s="28">
        <v>0</v>
      </c>
      <c r="F70" s="28">
        <v>0</v>
      </c>
      <c r="G70" s="28">
        <v>19413825417</v>
      </c>
      <c r="H70" s="28">
        <v>18070591653</v>
      </c>
    </row>
    <row r="71" spans="1:8" s="33" customFormat="1" x14ac:dyDescent="0.2">
      <c r="A71" s="29" t="s">
        <v>156</v>
      </c>
      <c r="C71" s="30">
        <v>6</v>
      </c>
      <c r="D71" s="36" t="s">
        <v>157</v>
      </c>
      <c r="E71" s="32">
        <v>0</v>
      </c>
      <c r="F71" s="32">
        <v>0</v>
      </c>
      <c r="G71" s="32">
        <v>7074861</v>
      </c>
      <c r="H71" s="32">
        <v>12306481</v>
      </c>
    </row>
    <row r="72" spans="1:8" s="33" customFormat="1" x14ac:dyDescent="0.2">
      <c r="A72" s="29" t="s">
        <v>158</v>
      </c>
      <c r="C72" s="30">
        <v>6</v>
      </c>
      <c r="D72" s="36" t="s">
        <v>104</v>
      </c>
      <c r="E72" s="32">
        <v>0</v>
      </c>
      <c r="F72" s="32">
        <v>0</v>
      </c>
      <c r="G72" s="32">
        <v>19406750556</v>
      </c>
      <c r="H72" s="32">
        <v>18058285172</v>
      </c>
    </row>
    <row r="73" spans="1:8" x14ac:dyDescent="0.2">
      <c r="A73" s="25" t="s">
        <v>159</v>
      </c>
      <c r="B73" s="24" t="s">
        <v>1003</v>
      </c>
      <c r="C73" s="26">
        <v>4</v>
      </c>
      <c r="D73" s="25" t="s">
        <v>106</v>
      </c>
      <c r="E73" s="28">
        <v>0</v>
      </c>
      <c r="F73" s="28">
        <v>0</v>
      </c>
      <c r="G73" s="28">
        <v>248755665</v>
      </c>
      <c r="H73" s="28">
        <v>303015524</v>
      </c>
    </row>
    <row r="74" spans="1:8" s="33" customFormat="1" x14ac:dyDescent="0.2">
      <c r="A74" s="29" t="s">
        <v>160</v>
      </c>
      <c r="C74" s="30">
        <v>6</v>
      </c>
      <c r="D74" s="36" t="s">
        <v>108</v>
      </c>
      <c r="E74" s="32">
        <v>0</v>
      </c>
      <c r="F74" s="32">
        <v>0</v>
      </c>
      <c r="G74" s="32">
        <v>248755665</v>
      </c>
      <c r="H74" s="32">
        <v>303015524</v>
      </c>
    </row>
    <row r="75" spans="1:8" x14ac:dyDescent="0.2">
      <c r="A75" s="25" t="s">
        <v>161</v>
      </c>
      <c r="B75" s="24" t="s">
        <v>1054</v>
      </c>
      <c r="C75" s="26">
        <v>4</v>
      </c>
      <c r="D75" s="25" t="s">
        <v>110</v>
      </c>
      <c r="E75" s="28">
        <v>0</v>
      </c>
      <c r="F75" s="28">
        <v>0</v>
      </c>
      <c r="G75" s="28">
        <v>3430105379</v>
      </c>
      <c r="H75" s="28">
        <v>4403460935</v>
      </c>
    </row>
    <row r="76" spans="1:8" s="33" customFormat="1" x14ac:dyDescent="0.2">
      <c r="A76" s="29" t="s">
        <v>162</v>
      </c>
      <c r="C76" s="30">
        <v>6</v>
      </c>
      <c r="D76" s="36" t="s">
        <v>112</v>
      </c>
      <c r="E76" s="32">
        <v>0</v>
      </c>
      <c r="F76" s="32">
        <v>0</v>
      </c>
      <c r="G76" s="32">
        <v>8302080</v>
      </c>
      <c r="H76" s="32">
        <v>8302080</v>
      </c>
    </row>
    <row r="77" spans="1:8" s="33" customFormat="1" x14ac:dyDescent="0.2">
      <c r="A77" s="29" t="s">
        <v>163</v>
      </c>
      <c r="C77" s="30">
        <v>6</v>
      </c>
      <c r="D77" s="36" t="s">
        <v>114</v>
      </c>
      <c r="E77" s="32">
        <v>0</v>
      </c>
      <c r="F77" s="32">
        <v>0</v>
      </c>
      <c r="G77" s="32">
        <v>3421803299</v>
      </c>
      <c r="H77" s="32">
        <v>4395158855</v>
      </c>
    </row>
    <row r="78" spans="1:8" ht="12.75" x14ac:dyDescent="0.2">
      <c r="A78" s="25" t="s">
        <v>164</v>
      </c>
      <c r="B78" s="238" t="s">
        <v>992</v>
      </c>
      <c r="C78" s="26">
        <v>4</v>
      </c>
      <c r="D78" s="25" t="s">
        <v>165</v>
      </c>
      <c r="E78" s="28">
        <v>367242956</v>
      </c>
      <c r="F78" s="28">
        <v>332283274</v>
      </c>
      <c r="G78" s="28">
        <v>295682847</v>
      </c>
      <c r="H78" s="28">
        <v>271340222</v>
      </c>
    </row>
    <row r="79" spans="1:8" s="33" customFormat="1" x14ac:dyDescent="0.2">
      <c r="A79" s="29" t="s">
        <v>166</v>
      </c>
      <c r="C79" s="30">
        <v>6</v>
      </c>
      <c r="D79" s="29" t="s">
        <v>167</v>
      </c>
      <c r="E79" s="32">
        <v>367242956</v>
      </c>
      <c r="F79" s="32">
        <v>332283274</v>
      </c>
      <c r="G79" s="32">
        <v>295682847</v>
      </c>
      <c r="H79" s="32">
        <v>271340222</v>
      </c>
    </row>
    <row r="80" spans="1:8" x14ac:dyDescent="0.2">
      <c r="A80" s="25" t="s">
        <v>168</v>
      </c>
      <c r="B80" s="24" t="s">
        <v>1004</v>
      </c>
      <c r="C80" s="26">
        <v>4</v>
      </c>
      <c r="D80" s="25" t="s">
        <v>169</v>
      </c>
      <c r="E80" s="28">
        <v>22002569028</v>
      </c>
      <c r="F80" s="28">
        <v>22015742545</v>
      </c>
      <c r="G80" s="28">
        <v>21852000000</v>
      </c>
      <c r="H80" s="28">
        <v>21852000000</v>
      </c>
    </row>
    <row r="81" spans="1:9" s="33" customFormat="1" x14ac:dyDescent="0.2">
      <c r="A81" s="29" t="s">
        <v>170</v>
      </c>
      <c r="C81" s="30">
        <v>6</v>
      </c>
      <c r="D81" s="36" t="s">
        <v>171</v>
      </c>
      <c r="E81" s="32">
        <v>0</v>
      </c>
      <c r="F81" s="32">
        <v>0</v>
      </c>
      <c r="G81" s="32">
        <v>21852000000</v>
      </c>
      <c r="H81" s="32">
        <v>21852000000</v>
      </c>
    </row>
    <row r="82" spans="1:9" x14ac:dyDescent="0.2">
      <c r="A82" s="25" t="s">
        <v>172</v>
      </c>
      <c r="B82" s="24" t="s">
        <v>1004</v>
      </c>
      <c r="C82" s="26">
        <v>4</v>
      </c>
      <c r="D82" s="25" t="s">
        <v>173</v>
      </c>
      <c r="E82" s="28">
        <v>-668466455</v>
      </c>
      <c r="F82" s="28">
        <v>-911612322</v>
      </c>
      <c r="G82" s="28">
        <v>0</v>
      </c>
      <c r="H82" s="28">
        <v>0</v>
      </c>
    </row>
    <row r="83" spans="1:9" s="16" customFormat="1" ht="15" x14ac:dyDescent="0.25">
      <c r="A83" s="17" t="s">
        <v>174</v>
      </c>
      <c r="B83" s="106"/>
      <c r="C83" s="18">
        <v>1</v>
      </c>
      <c r="D83" s="17" t="s">
        <v>175</v>
      </c>
      <c r="E83" s="19">
        <v>359546196656</v>
      </c>
      <c r="F83" s="19">
        <v>522189162208</v>
      </c>
      <c r="G83" s="19">
        <v>983909878171.19678</v>
      </c>
      <c r="H83" s="19">
        <v>975820431517.19678</v>
      </c>
      <c r="I83" s="16">
        <v>-1</v>
      </c>
    </row>
    <row r="84" spans="1:9" ht="12.75" x14ac:dyDescent="0.2">
      <c r="A84" s="20" t="s">
        <v>176</v>
      </c>
      <c r="B84" s="22"/>
      <c r="C84" s="21">
        <v>2</v>
      </c>
      <c r="D84" s="22" t="s">
        <v>177</v>
      </c>
      <c r="E84" s="23">
        <v>23586277715</v>
      </c>
      <c r="F84" s="23">
        <v>0</v>
      </c>
      <c r="G84" s="23">
        <v>11000000000</v>
      </c>
      <c r="H84" s="23">
        <v>1680379586</v>
      </c>
    </row>
    <row r="85" spans="1:9" x14ac:dyDescent="0.2">
      <c r="A85" s="25" t="s">
        <v>178</v>
      </c>
      <c r="B85" s="24" t="s">
        <v>1005</v>
      </c>
      <c r="C85" s="26">
        <v>4</v>
      </c>
      <c r="D85" s="25" t="s">
        <v>179</v>
      </c>
      <c r="E85" s="114">
        <v>23586277715</v>
      </c>
      <c r="F85" s="28">
        <v>0</v>
      </c>
      <c r="G85" s="28">
        <v>11000000000</v>
      </c>
      <c r="H85" s="28">
        <v>1680379586</v>
      </c>
    </row>
    <row r="86" spans="1:9" s="33" customFormat="1" x14ac:dyDescent="0.2">
      <c r="A86" s="29" t="s">
        <v>180</v>
      </c>
      <c r="C86" s="30">
        <v>6</v>
      </c>
      <c r="D86" s="29" t="s">
        <v>181</v>
      </c>
      <c r="E86" s="113">
        <v>23586277715</v>
      </c>
      <c r="F86" s="32">
        <v>0</v>
      </c>
      <c r="G86" s="32">
        <v>11000000000</v>
      </c>
      <c r="H86" s="32">
        <v>1680379586</v>
      </c>
    </row>
    <row r="87" spans="1:9" ht="12.75" x14ac:dyDescent="0.2">
      <c r="A87" s="20" t="s">
        <v>182</v>
      </c>
      <c r="B87" s="22"/>
      <c r="C87" s="21">
        <v>2</v>
      </c>
      <c r="D87" s="22" t="s">
        <v>183</v>
      </c>
      <c r="E87" s="23">
        <v>11106145316</v>
      </c>
      <c r="F87" s="23">
        <v>10640112451</v>
      </c>
      <c r="G87" s="23">
        <v>641941572086</v>
      </c>
      <c r="H87" s="23">
        <v>656930453652</v>
      </c>
    </row>
    <row r="88" spans="1:9" x14ac:dyDescent="0.2">
      <c r="A88" s="25" t="s">
        <v>184</v>
      </c>
      <c r="B88" s="24" t="s">
        <v>1006</v>
      </c>
      <c r="C88" s="26">
        <v>4</v>
      </c>
      <c r="D88" s="25" t="s">
        <v>185</v>
      </c>
      <c r="E88" s="28">
        <v>852548282</v>
      </c>
      <c r="F88" s="28">
        <v>925464709</v>
      </c>
      <c r="G88" s="28">
        <v>724582586</v>
      </c>
      <c r="H88" s="28">
        <v>1502319742</v>
      </c>
    </row>
    <row r="89" spans="1:9" s="33" customFormat="1" x14ac:dyDescent="0.2">
      <c r="A89" s="29" t="s">
        <v>186</v>
      </c>
      <c r="C89" s="30">
        <v>6</v>
      </c>
      <c r="D89" s="29" t="s">
        <v>187</v>
      </c>
      <c r="E89" s="32">
        <v>852548282</v>
      </c>
      <c r="F89" s="32">
        <v>925464709</v>
      </c>
      <c r="G89" s="32">
        <v>724582586</v>
      </c>
      <c r="H89" s="32">
        <v>1502319742</v>
      </c>
    </row>
    <row r="90" spans="1:9" x14ac:dyDescent="0.2">
      <c r="A90" s="25" t="s">
        <v>188</v>
      </c>
      <c r="B90" s="24" t="s">
        <v>1007</v>
      </c>
      <c r="C90" s="26">
        <v>4</v>
      </c>
      <c r="D90" s="25" t="s">
        <v>189</v>
      </c>
      <c r="E90" s="28">
        <v>0</v>
      </c>
      <c r="F90" s="28">
        <v>0</v>
      </c>
      <c r="G90" s="28">
        <v>222819082</v>
      </c>
      <c r="H90" s="28">
        <v>247511870</v>
      </c>
    </row>
    <row r="91" spans="1:9" s="33" customFormat="1" x14ac:dyDescent="0.2">
      <c r="A91" s="29" t="s">
        <v>190</v>
      </c>
      <c r="C91" s="30">
        <v>6</v>
      </c>
      <c r="D91" s="36" t="s">
        <v>191</v>
      </c>
      <c r="E91" s="32">
        <v>0</v>
      </c>
      <c r="F91" s="32">
        <v>0</v>
      </c>
      <c r="G91" s="32">
        <v>73013446</v>
      </c>
      <c r="H91" s="32">
        <v>81492139</v>
      </c>
    </row>
    <row r="92" spans="1:9" s="33" customFormat="1" x14ac:dyDescent="0.2">
      <c r="A92" s="29" t="s">
        <v>192</v>
      </c>
      <c r="C92" s="30">
        <v>6</v>
      </c>
      <c r="D92" s="36" t="s">
        <v>193</v>
      </c>
      <c r="E92" s="32">
        <v>0</v>
      </c>
      <c r="F92" s="32">
        <v>0</v>
      </c>
      <c r="G92" s="32">
        <v>65211829</v>
      </c>
      <c r="H92" s="32">
        <v>72180007</v>
      </c>
    </row>
    <row r="93" spans="1:9" s="33" customFormat="1" x14ac:dyDescent="0.2">
      <c r="A93" s="29" t="s">
        <v>194</v>
      </c>
      <c r="C93" s="30">
        <v>6</v>
      </c>
      <c r="D93" s="36" t="s">
        <v>195</v>
      </c>
      <c r="E93" s="32">
        <v>0</v>
      </c>
      <c r="F93" s="32">
        <v>0</v>
      </c>
      <c r="G93" s="32">
        <v>35127596</v>
      </c>
      <c r="H93" s="32">
        <v>41565609</v>
      </c>
    </row>
    <row r="94" spans="1:9" s="33" customFormat="1" x14ac:dyDescent="0.2">
      <c r="A94" s="29" t="s">
        <v>196</v>
      </c>
      <c r="C94" s="30">
        <v>6</v>
      </c>
      <c r="D94" s="36" t="s">
        <v>197</v>
      </c>
      <c r="E94" s="32">
        <v>0</v>
      </c>
      <c r="F94" s="32">
        <v>0</v>
      </c>
      <c r="G94" s="32">
        <v>25657540</v>
      </c>
      <c r="H94" s="32">
        <v>32619666</v>
      </c>
    </row>
    <row r="95" spans="1:9" s="33" customFormat="1" x14ac:dyDescent="0.2">
      <c r="A95" s="29" t="s">
        <v>198</v>
      </c>
      <c r="C95" s="30">
        <v>6</v>
      </c>
      <c r="D95" s="36" t="s">
        <v>199</v>
      </c>
      <c r="E95" s="32">
        <v>0</v>
      </c>
      <c r="F95" s="32">
        <v>0</v>
      </c>
      <c r="G95" s="32">
        <v>1087587</v>
      </c>
      <c r="H95" s="32">
        <v>1565457</v>
      </c>
    </row>
    <row r="96" spans="1:9" s="33" customFormat="1" x14ac:dyDescent="0.2">
      <c r="A96" s="29" t="s">
        <v>200</v>
      </c>
      <c r="C96" s="30">
        <v>6</v>
      </c>
      <c r="D96" s="36" t="s">
        <v>201</v>
      </c>
      <c r="E96" s="32">
        <v>0</v>
      </c>
      <c r="F96" s="32">
        <v>0</v>
      </c>
      <c r="G96" s="32">
        <v>7361084</v>
      </c>
      <c r="H96" s="32">
        <v>3388992</v>
      </c>
    </row>
    <row r="97" spans="1:8" s="33" customFormat="1" x14ac:dyDescent="0.2">
      <c r="A97" s="29" t="s">
        <v>202</v>
      </c>
      <c r="C97" s="30">
        <v>6</v>
      </c>
      <c r="D97" s="36" t="s">
        <v>203</v>
      </c>
      <c r="E97" s="32">
        <v>0</v>
      </c>
      <c r="F97" s="32">
        <v>0</v>
      </c>
      <c r="G97" s="32">
        <v>15360000</v>
      </c>
      <c r="H97" s="32">
        <v>14700000</v>
      </c>
    </row>
    <row r="98" spans="1:8" x14ac:dyDescent="0.2">
      <c r="A98" s="25" t="s">
        <v>204</v>
      </c>
      <c r="B98" s="24" t="s">
        <v>1006</v>
      </c>
      <c r="C98" s="26">
        <v>4</v>
      </c>
      <c r="D98" s="25" t="s">
        <v>205</v>
      </c>
      <c r="E98" s="28">
        <v>8569125292</v>
      </c>
      <c r="F98" s="28">
        <v>7107690116</v>
      </c>
      <c r="G98" s="28">
        <v>0</v>
      </c>
      <c r="H98" s="28">
        <v>0</v>
      </c>
    </row>
    <row r="99" spans="1:8" s="33" customFormat="1" x14ac:dyDescent="0.2">
      <c r="A99" s="29" t="s">
        <v>206</v>
      </c>
      <c r="C99" s="30">
        <v>6</v>
      </c>
      <c r="D99" s="29" t="s">
        <v>207</v>
      </c>
      <c r="E99" s="32">
        <v>53939008</v>
      </c>
      <c r="F99" s="32">
        <v>3375338</v>
      </c>
      <c r="G99" s="32">
        <v>0</v>
      </c>
      <c r="H99" s="32">
        <v>0</v>
      </c>
    </row>
    <row r="100" spans="1:8" s="33" customFormat="1" x14ac:dyDescent="0.2">
      <c r="A100" s="29" t="s">
        <v>208</v>
      </c>
      <c r="C100" s="30">
        <v>6</v>
      </c>
      <c r="D100" s="29" t="s">
        <v>209</v>
      </c>
      <c r="E100" s="32">
        <v>18227858</v>
      </c>
      <c r="F100" s="32">
        <v>264415121</v>
      </c>
      <c r="G100" s="32">
        <v>0</v>
      </c>
      <c r="H100" s="32">
        <v>0</v>
      </c>
    </row>
    <row r="101" spans="1:8" s="33" customFormat="1" x14ac:dyDescent="0.2">
      <c r="A101" s="29" t="s">
        <v>210</v>
      </c>
      <c r="C101" s="30">
        <v>6</v>
      </c>
      <c r="D101" s="29" t="s">
        <v>211</v>
      </c>
      <c r="E101" s="32">
        <v>2060548</v>
      </c>
      <c r="F101" s="32">
        <v>920868</v>
      </c>
      <c r="G101" s="32">
        <v>0</v>
      </c>
      <c r="H101" s="32">
        <v>0</v>
      </c>
    </row>
    <row r="102" spans="1:8" s="33" customFormat="1" x14ac:dyDescent="0.2">
      <c r="A102" s="29" t="s">
        <v>212</v>
      </c>
      <c r="C102" s="30">
        <v>6</v>
      </c>
      <c r="D102" s="29" t="s">
        <v>191</v>
      </c>
      <c r="E102" s="32">
        <v>113519689</v>
      </c>
      <c r="F102" s="32">
        <v>143770709</v>
      </c>
      <c r="G102" s="32">
        <v>0</v>
      </c>
      <c r="H102" s="32">
        <v>0</v>
      </c>
    </row>
    <row r="103" spans="1:8" s="33" customFormat="1" x14ac:dyDescent="0.2">
      <c r="A103" s="29" t="s">
        <v>213</v>
      </c>
      <c r="C103" s="30">
        <v>6</v>
      </c>
      <c r="D103" s="29" t="s">
        <v>193</v>
      </c>
      <c r="E103" s="32">
        <v>86928927</v>
      </c>
      <c r="F103" s="32">
        <v>112616219</v>
      </c>
      <c r="G103" s="32">
        <v>0</v>
      </c>
      <c r="H103" s="32">
        <v>0</v>
      </c>
    </row>
    <row r="104" spans="1:8" s="33" customFormat="1" x14ac:dyDescent="0.2">
      <c r="A104" s="29" t="s">
        <v>214</v>
      </c>
      <c r="C104" s="30">
        <v>6</v>
      </c>
      <c r="D104" s="29" t="s">
        <v>215</v>
      </c>
      <c r="E104" s="32">
        <v>61539300</v>
      </c>
      <c r="F104" s="32">
        <v>77001200</v>
      </c>
      <c r="G104" s="32">
        <v>0</v>
      </c>
      <c r="H104" s="32">
        <v>0</v>
      </c>
    </row>
    <row r="105" spans="1:8" s="33" customFormat="1" x14ac:dyDescent="0.2">
      <c r="A105" s="29" t="s">
        <v>216</v>
      </c>
      <c r="C105" s="30">
        <v>6</v>
      </c>
      <c r="D105" s="29" t="s">
        <v>217</v>
      </c>
      <c r="E105" s="32">
        <v>697216</v>
      </c>
      <c r="F105" s="32">
        <v>14787837</v>
      </c>
      <c r="G105" s="32">
        <v>0</v>
      </c>
      <c r="H105" s="32">
        <v>0</v>
      </c>
    </row>
    <row r="106" spans="1:8" s="33" customFormat="1" x14ac:dyDescent="0.2">
      <c r="A106" s="29" t="s">
        <v>218</v>
      </c>
      <c r="C106" s="30">
        <v>6</v>
      </c>
      <c r="D106" s="29" t="s">
        <v>201</v>
      </c>
      <c r="E106" s="32">
        <v>2330896</v>
      </c>
      <c r="F106" s="32">
        <v>6261652</v>
      </c>
      <c r="G106" s="32">
        <v>0</v>
      </c>
      <c r="H106" s="32">
        <v>0</v>
      </c>
    </row>
    <row r="107" spans="1:8" s="33" customFormat="1" x14ac:dyDescent="0.2">
      <c r="A107" s="29" t="s">
        <v>219</v>
      </c>
      <c r="C107" s="30">
        <v>6</v>
      </c>
      <c r="D107" s="29" t="s">
        <v>220</v>
      </c>
      <c r="E107" s="32">
        <v>3547300</v>
      </c>
      <c r="F107" s="32">
        <v>12606890</v>
      </c>
      <c r="G107" s="32">
        <v>0</v>
      </c>
      <c r="H107" s="32">
        <v>0</v>
      </c>
    </row>
    <row r="108" spans="1:8" s="33" customFormat="1" x14ac:dyDescent="0.2">
      <c r="A108" s="29" t="s">
        <v>221</v>
      </c>
      <c r="C108" s="30">
        <v>6</v>
      </c>
      <c r="D108" s="29" t="s">
        <v>197</v>
      </c>
      <c r="E108" s="32">
        <v>11733200</v>
      </c>
      <c r="F108" s="32">
        <v>4632254</v>
      </c>
      <c r="G108" s="32">
        <v>0</v>
      </c>
      <c r="H108" s="32">
        <v>0</v>
      </c>
    </row>
    <row r="109" spans="1:8" s="33" customFormat="1" x14ac:dyDescent="0.2">
      <c r="A109" s="29" t="s">
        <v>222</v>
      </c>
      <c r="C109" s="30">
        <v>6</v>
      </c>
      <c r="D109" s="29" t="s">
        <v>223</v>
      </c>
      <c r="E109" s="32">
        <v>5399887221</v>
      </c>
      <c r="F109" s="32">
        <v>5236067980</v>
      </c>
      <c r="G109" s="32">
        <v>0</v>
      </c>
      <c r="H109" s="32">
        <v>0</v>
      </c>
    </row>
    <row r="110" spans="1:8" s="33" customFormat="1" x14ac:dyDescent="0.2">
      <c r="A110" s="29" t="s">
        <v>224</v>
      </c>
      <c r="C110" s="30">
        <v>6</v>
      </c>
      <c r="D110" s="29" t="s">
        <v>225</v>
      </c>
      <c r="E110" s="32">
        <v>24816049</v>
      </c>
      <c r="F110" s="32">
        <v>645358860</v>
      </c>
      <c r="G110" s="32">
        <v>0</v>
      </c>
      <c r="H110" s="32">
        <v>0</v>
      </c>
    </row>
    <row r="111" spans="1:8" s="33" customFormat="1" x14ac:dyDescent="0.2">
      <c r="A111" s="29" t="s">
        <v>226</v>
      </c>
      <c r="C111" s="30">
        <v>6</v>
      </c>
      <c r="D111" s="29" t="s">
        <v>227</v>
      </c>
      <c r="E111" s="32">
        <v>2789898080</v>
      </c>
      <c r="F111" s="32">
        <v>585875188</v>
      </c>
      <c r="G111" s="32">
        <v>0</v>
      </c>
      <c r="H111" s="32">
        <v>0</v>
      </c>
    </row>
    <row r="112" spans="1:8" x14ac:dyDescent="0.2">
      <c r="A112" s="25" t="s">
        <v>228</v>
      </c>
      <c r="B112" s="24" t="s">
        <v>1009</v>
      </c>
      <c r="C112" s="26">
        <v>4</v>
      </c>
      <c r="D112" s="25" t="s">
        <v>229</v>
      </c>
      <c r="E112" s="28">
        <v>1244790584</v>
      </c>
      <c r="F112" s="28">
        <v>1446776603</v>
      </c>
      <c r="G112" s="28">
        <v>752821057</v>
      </c>
      <c r="H112" s="28">
        <v>1203088704</v>
      </c>
    </row>
    <row r="113" spans="1:8" s="33" customFormat="1" x14ac:dyDescent="0.2">
      <c r="A113" s="29" t="s">
        <v>230</v>
      </c>
      <c r="C113" s="30">
        <v>6</v>
      </c>
      <c r="D113" s="29" t="s">
        <v>223</v>
      </c>
      <c r="E113" s="32">
        <v>1074448607</v>
      </c>
      <c r="F113" s="32">
        <v>1118475144</v>
      </c>
      <c r="G113" s="32">
        <v>523220257</v>
      </c>
      <c r="H113" s="32">
        <v>995821476</v>
      </c>
    </row>
    <row r="114" spans="1:8" s="33" customFormat="1" x14ac:dyDescent="0.2">
      <c r="A114" s="29" t="s">
        <v>231</v>
      </c>
      <c r="C114" s="30">
        <v>6</v>
      </c>
      <c r="D114" s="29" t="s">
        <v>232</v>
      </c>
      <c r="E114" s="32">
        <v>151510</v>
      </c>
      <c r="F114" s="32">
        <v>0</v>
      </c>
      <c r="G114" s="32">
        <v>0</v>
      </c>
      <c r="H114" s="32">
        <v>0</v>
      </c>
    </row>
    <row r="115" spans="1:8" s="33" customFormat="1" x14ac:dyDescent="0.2">
      <c r="A115" s="29" t="s">
        <v>233</v>
      </c>
      <c r="C115" s="30">
        <v>6</v>
      </c>
      <c r="D115" s="29" t="s">
        <v>225</v>
      </c>
      <c r="E115" s="32">
        <v>110702126</v>
      </c>
      <c r="F115" s="32">
        <v>236155270</v>
      </c>
      <c r="G115" s="32">
        <v>140577387</v>
      </c>
      <c r="H115" s="32">
        <v>144359148</v>
      </c>
    </row>
    <row r="116" spans="1:8" s="33" customFormat="1" x14ac:dyDescent="0.2">
      <c r="A116" s="29" t="s">
        <v>234</v>
      </c>
      <c r="C116" s="30">
        <v>6</v>
      </c>
      <c r="D116" s="29" t="s">
        <v>209</v>
      </c>
      <c r="E116" s="32">
        <v>3968133</v>
      </c>
      <c r="F116" s="32">
        <v>8384390</v>
      </c>
      <c r="G116" s="32">
        <v>10142025</v>
      </c>
      <c r="H116" s="32">
        <v>7314459</v>
      </c>
    </row>
    <row r="117" spans="1:8" s="33" customFormat="1" x14ac:dyDescent="0.2">
      <c r="A117" s="29" t="s">
        <v>235</v>
      </c>
      <c r="C117" s="30">
        <v>6</v>
      </c>
      <c r="D117" s="29" t="s">
        <v>236</v>
      </c>
      <c r="E117" s="32">
        <v>2296433</v>
      </c>
      <c r="F117" s="32">
        <v>12064068</v>
      </c>
      <c r="G117" s="32">
        <v>13707646</v>
      </c>
      <c r="H117" s="32">
        <v>8101371</v>
      </c>
    </row>
    <row r="118" spans="1:8" s="33" customFormat="1" x14ac:dyDescent="0.2">
      <c r="A118" s="29" t="s">
        <v>237</v>
      </c>
      <c r="C118" s="30">
        <v>6</v>
      </c>
      <c r="D118" s="29" t="s">
        <v>238</v>
      </c>
      <c r="E118" s="32">
        <v>30895453</v>
      </c>
      <c r="F118" s="32">
        <v>36965747</v>
      </c>
      <c r="G118" s="32">
        <v>32454600</v>
      </c>
      <c r="H118" s="32">
        <v>25588600</v>
      </c>
    </row>
    <row r="119" spans="1:8" s="33" customFormat="1" x14ac:dyDescent="0.2">
      <c r="A119" s="29" t="s">
        <v>239</v>
      </c>
      <c r="C119" s="30">
        <v>6</v>
      </c>
      <c r="D119" s="29" t="s">
        <v>240</v>
      </c>
      <c r="E119" s="32">
        <v>19501398</v>
      </c>
      <c r="F119" s="32">
        <v>29888443</v>
      </c>
      <c r="G119" s="32">
        <v>28497940</v>
      </c>
      <c r="H119" s="32">
        <v>19907415</v>
      </c>
    </row>
    <row r="120" spans="1:8" s="33" customFormat="1" x14ac:dyDescent="0.2">
      <c r="A120" s="29" t="s">
        <v>241</v>
      </c>
      <c r="C120" s="30">
        <v>6</v>
      </c>
      <c r="D120" s="29" t="s">
        <v>242</v>
      </c>
      <c r="E120" s="32">
        <v>2826924</v>
      </c>
      <c r="F120" s="32">
        <v>4843541</v>
      </c>
      <c r="G120" s="32">
        <v>4221202</v>
      </c>
      <c r="H120" s="32">
        <v>1996235</v>
      </c>
    </row>
    <row r="121" spans="1:8" x14ac:dyDescent="0.2">
      <c r="A121" s="25" t="s">
        <v>243</v>
      </c>
      <c r="B121" s="24" t="s">
        <v>1010</v>
      </c>
      <c r="C121" s="26">
        <v>4</v>
      </c>
      <c r="D121" s="25" t="s">
        <v>244</v>
      </c>
      <c r="E121" s="28">
        <v>178025591</v>
      </c>
      <c r="F121" s="28">
        <v>111834861</v>
      </c>
      <c r="G121" s="28">
        <v>0</v>
      </c>
      <c r="H121" s="28">
        <v>0</v>
      </c>
    </row>
    <row r="122" spans="1:8" s="33" customFormat="1" x14ac:dyDescent="0.2">
      <c r="A122" s="29" t="s">
        <v>245</v>
      </c>
      <c r="C122" s="30">
        <v>6</v>
      </c>
      <c r="D122" s="29" t="s">
        <v>246</v>
      </c>
      <c r="E122" s="32">
        <v>178025591</v>
      </c>
      <c r="F122" s="32">
        <v>111834861</v>
      </c>
      <c r="G122" s="32">
        <v>0</v>
      </c>
      <c r="H122" s="32">
        <v>0</v>
      </c>
    </row>
    <row r="123" spans="1:8" x14ac:dyDescent="0.2">
      <c r="A123" s="25" t="s">
        <v>247</v>
      </c>
      <c r="B123" s="24" t="s">
        <v>1010</v>
      </c>
      <c r="C123" s="26">
        <v>4</v>
      </c>
      <c r="D123" s="25" t="s">
        <v>248</v>
      </c>
      <c r="E123" s="28">
        <v>261655567</v>
      </c>
      <c r="F123" s="28">
        <v>1048346162</v>
      </c>
      <c r="G123" s="28">
        <v>2167310701</v>
      </c>
      <c r="H123" s="28">
        <v>2840377401</v>
      </c>
    </row>
    <row r="124" spans="1:8" s="33" customFormat="1" x14ac:dyDescent="0.2">
      <c r="A124" s="29" t="s">
        <v>249</v>
      </c>
      <c r="C124" s="30">
        <v>6</v>
      </c>
      <c r="D124" s="29" t="s">
        <v>250</v>
      </c>
      <c r="E124" s="32">
        <v>260336026</v>
      </c>
      <c r="F124" s="32">
        <v>1043086367</v>
      </c>
      <c r="G124" s="32">
        <v>1344795116</v>
      </c>
      <c r="H124" s="32">
        <v>1205282951</v>
      </c>
    </row>
    <row r="125" spans="1:8" s="33" customFormat="1" x14ac:dyDescent="0.2">
      <c r="A125" s="29" t="s">
        <v>251</v>
      </c>
      <c r="C125" s="30">
        <v>6</v>
      </c>
      <c r="D125" s="29" t="s">
        <v>252</v>
      </c>
      <c r="E125" s="32">
        <v>1319541</v>
      </c>
      <c r="F125" s="32">
        <v>5259795</v>
      </c>
      <c r="G125" s="32">
        <v>8961363</v>
      </c>
      <c r="H125" s="32">
        <v>10783470</v>
      </c>
    </row>
    <row r="126" spans="1:8" s="33" customFormat="1" x14ac:dyDescent="0.2">
      <c r="A126" s="29" t="s">
        <v>253</v>
      </c>
      <c r="C126" s="30">
        <v>6</v>
      </c>
      <c r="D126" s="29" t="s">
        <v>254</v>
      </c>
      <c r="E126" s="32">
        <v>0</v>
      </c>
      <c r="F126" s="32">
        <v>0</v>
      </c>
      <c r="G126" s="32">
        <v>813554222</v>
      </c>
      <c r="H126" s="32">
        <v>1624310980</v>
      </c>
    </row>
    <row r="127" spans="1:8" x14ac:dyDescent="0.2">
      <c r="A127" s="25" t="s">
        <v>255</v>
      </c>
      <c r="B127" s="24" t="s">
        <v>1008</v>
      </c>
      <c r="C127" s="26">
        <v>4</v>
      </c>
      <c r="D127" s="25" t="s">
        <v>256</v>
      </c>
      <c r="E127" s="28">
        <v>0</v>
      </c>
      <c r="F127" s="28">
        <v>0</v>
      </c>
      <c r="G127" s="28">
        <v>632774601960</v>
      </c>
      <c r="H127" s="28">
        <v>646093054781</v>
      </c>
    </row>
    <row r="128" spans="1:8" s="33" customFormat="1" x14ac:dyDescent="0.2">
      <c r="A128" s="29" t="s">
        <v>257</v>
      </c>
      <c r="C128" s="30">
        <v>6</v>
      </c>
      <c r="D128" s="29" t="s">
        <v>258</v>
      </c>
      <c r="E128" s="32">
        <v>0</v>
      </c>
      <c r="F128" s="32">
        <v>0</v>
      </c>
      <c r="G128" s="32">
        <v>2914054491</v>
      </c>
      <c r="H128" s="32">
        <v>3651530408</v>
      </c>
    </row>
    <row r="129" spans="1:8" s="33" customFormat="1" x14ac:dyDescent="0.2">
      <c r="A129" s="29" t="s">
        <v>259</v>
      </c>
      <c r="C129" s="30">
        <v>6</v>
      </c>
      <c r="D129" s="36" t="s">
        <v>260</v>
      </c>
      <c r="E129" s="32">
        <v>0</v>
      </c>
      <c r="F129" s="32">
        <v>0</v>
      </c>
      <c r="G129" s="32">
        <v>2396509339</v>
      </c>
      <c r="H129" s="32">
        <v>11840248323</v>
      </c>
    </row>
    <row r="130" spans="1:8" s="33" customFormat="1" x14ac:dyDescent="0.2">
      <c r="A130" s="29" t="s">
        <v>261</v>
      </c>
      <c r="C130" s="30">
        <v>6</v>
      </c>
      <c r="D130" s="36" t="s">
        <v>262</v>
      </c>
      <c r="E130" s="32">
        <v>0</v>
      </c>
      <c r="F130" s="32">
        <v>0</v>
      </c>
      <c r="G130" s="32">
        <v>351153109</v>
      </c>
      <c r="H130" s="32">
        <v>402932558</v>
      </c>
    </row>
    <row r="131" spans="1:8" s="33" customFormat="1" x14ac:dyDescent="0.2">
      <c r="A131" s="29" t="s">
        <v>263</v>
      </c>
      <c r="C131" s="30">
        <v>6</v>
      </c>
      <c r="D131" s="36" t="s">
        <v>264</v>
      </c>
      <c r="E131" s="32">
        <v>0</v>
      </c>
      <c r="F131" s="32">
        <v>0</v>
      </c>
      <c r="G131" s="32">
        <v>39000834968</v>
      </c>
      <c r="H131" s="32">
        <v>43637792926</v>
      </c>
    </row>
    <row r="132" spans="1:8" s="33" customFormat="1" x14ac:dyDescent="0.2">
      <c r="A132" s="29" t="s">
        <v>265</v>
      </c>
      <c r="C132" s="30">
        <v>6</v>
      </c>
      <c r="D132" s="36" t="s">
        <v>266</v>
      </c>
      <c r="E132" s="32">
        <v>0</v>
      </c>
      <c r="F132" s="32">
        <v>0</v>
      </c>
      <c r="G132" s="32">
        <v>481699725130</v>
      </c>
      <c r="H132" s="32">
        <v>503920115761</v>
      </c>
    </row>
    <row r="133" spans="1:8" s="33" customFormat="1" x14ac:dyDescent="0.2">
      <c r="A133" s="29" t="s">
        <v>267</v>
      </c>
      <c r="C133" s="30">
        <v>6</v>
      </c>
      <c r="D133" s="36" t="s">
        <v>268</v>
      </c>
      <c r="E133" s="32">
        <v>0</v>
      </c>
      <c r="F133" s="32">
        <v>0</v>
      </c>
      <c r="G133" s="32">
        <v>104611169147</v>
      </c>
      <c r="H133" s="32">
        <v>81542846648</v>
      </c>
    </row>
    <row r="134" spans="1:8" s="33" customFormat="1" x14ac:dyDescent="0.2">
      <c r="A134" s="29" t="s">
        <v>269</v>
      </c>
      <c r="C134" s="30">
        <v>6</v>
      </c>
      <c r="D134" s="36" t="s">
        <v>270</v>
      </c>
      <c r="E134" s="32">
        <v>0</v>
      </c>
      <c r="F134" s="32">
        <v>0</v>
      </c>
      <c r="G134" s="32">
        <v>1801155776</v>
      </c>
      <c r="H134" s="32">
        <v>1097588157</v>
      </c>
    </row>
    <row r="135" spans="1:8" x14ac:dyDescent="0.2">
      <c r="A135" s="25" t="s">
        <v>271</v>
      </c>
      <c r="B135" s="24" t="s">
        <v>1006</v>
      </c>
      <c r="C135" s="26">
        <v>4</v>
      </c>
      <c r="D135" s="25" t="s">
        <v>272</v>
      </c>
      <c r="E135" s="28">
        <v>0</v>
      </c>
      <c r="F135" s="28">
        <v>0</v>
      </c>
      <c r="G135" s="28">
        <v>5299436700</v>
      </c>
      <c r="H135" s="28">
        <v>5044101154</v>
      </c>
    </row>
    <row r="136" spans="1:8" s="33" customFormat="1" x14ac:dyDescent="0.2">
      <c r="A136" s="29" t="s">
        <v>273</v>
      </c>
      <c r="C136" s="30">
        <v>6</v>
      </c>
      <c r="D136" s="36" t="s">
        <v>274</v>
      </c>
      <c r="E136" s="32">
        <v>0</v>
      </c>
      <c r="F136" s="32">
        <v>0</v>
      </c>
      <c r="G136" s="32">
        <v>255827480</v>
      </c>
      <c r="H136" s="32">
        <v>250243936</v>
      </c>
    </row>
    <row r="137" spans="1:8" s="33" customFormat="1" x14ac:dyDescent="0.2">
      <c r="A137" s="29" t="s">
        <v>275</v>
      </c>
      <c r="C137" s="30">
        <v>6</v>
      </c>
      <c r="D137" s="36" t="s">
        <v>211</v>
      </c>
      <c r="E137" s="32">
        <v>0</v>
      </c>
      <c r="F137" s="32">
        <v>0</v>
      </c>
      <c r="G137" s="32">
        <v>850251</v>
      </c>
      <c r="H137" s="32">
        <v>2077035</v>
      </c>
    </row>
    <row r="138" spans="1:8" s="33" customFormat="1" x14ac:dyDescent="0.2">
      <c r="A138" s="29" t="s">
        <v>276</v>
      </c>
      <c r="C138" s="30">
        <v>6</v>
      </c>
      <c r="D138" s="36" t="s">
        <v>277</v>
      </c>
      <c r="E138" s="32">
        <v>0</v>
      </c>
      <c r="F138" s="32">
        <v>0</v>
      </c>
      <c r="G138" s="32">
        <v>0</v>
      </c>
      <c r="H138" s="32">
        <v>183899</v>
      </c>
    </row>
    <row r="139" spans="1:8" s="33" customFormat="1" x14ac:dyDescent="0.2">
      <c r="A139" s="29" t="s">
        <v>278</v>
      </c>
      <c r="C139" s="30">
        <v>6</v>
      </c>
      <c r="D139" s="36" t="s">
        <v>279</v>
      </c>
      <c r="E139" s="32">
        <v>0</v>
      </c>
      <c r="F139" s="32">
        <v>0</v>
      </c>
      <c r="G139" s="32">
        <v>80907200</v>
      </c>
      <c r="H139" s="32">
        <v>91147600</v>
      </c>
    </row>
    <row r="140" spans="1:8" s="33" customFormat="1" x14ac:dyDescent="0.2">
      <c r="A140" s="29" t="s">
        <v>280</v>
      </c>
      <c r="C140" s="30">
        <v>6</v>
      </c>
      <c r="D140" s="36" t="s">
        <v>207</v>
      </c>
      <c r="E140" s="32">
        <v>0</v>
      </c>
      <c r="F140" s="32">
        <v>0</v>
      </c>
      <c r="G140" s="32">
        <v>18772510</v>
      </c>
      <c r="H140" s="32">
        <v>21516580</v>
      </c>
    </row>
    <row r="141" spans="1:8" s="33" customFormat="1" x14ac:dyDescent="0.2">
      <c r="A141" s="29" t="s">
        <v>281</v>
      </c>
      <c r="C141" s="30">
        <v>6</v>
      </c>
      <c r="D141" s="36" t="s">
        <v>223</v>
      </c>
      <c r="E141" s="32">
        <v>0</v>
      </c>
      <c r="F141" s="32">
        <v>0</v>
      </c>
      <c r="G141" s="32">
        <v>4224151925</v>
      </c>
      <c r="H141" s="32">
        <v>4001602932</v>
      </c>
    </row>
    <row r="142" spans="1:8" s="33" customFormat="1" x14ac:dyDescent="0.2">
      <c r="A142" s="29" t="s">
        <v>282</v>
      </c>
      <c r="C142" s="30">
        <v>6</v>
      </c>
      <c r="D142" s="36" t="s">
        <v>225</v>
      </c>
      <c r="E142" s="32">
        <v>0</v>
      </c>
      <c r="F142" s="32">
        <v>0</v>
      </c>
      <c r="G142" s="32">
        <v>505570495</v>
      </c>
      <c r="H142" s="32">
        <v>505054719</v>
      </c>
    </row>
    <row r="143" spans="1:8" s="33" customFormat="1" x14ac:dyDescent="0.2">
      <c r="A143" s="29" t="s">
        <v>283</v>
      </c>
      <c r="C143" s="30">
        <v>6</v>
      </c>
      <c r="D143" s="36" t="s">
        <v>284</v>
      </c>
      <c r="E143" s="32">
        <v>0</v>
      </c>
      <c r="F143" s="32">
        <v>0</v>
      </c>
      <c r="G143" s="32">
        <v>213356839</v>
      </c>
      <c r="H143" s="32">
        <v>172274453</v>
      </c>
    </row>
    <row r="144" spans="1:8" ht="12.75" x14ac:dyDescent="0.2">
      <c r="A144" s="20" t="s">
        <v>285</v>
      </c>
      <c r="B144" s="22"/>
      <c r="C144" s="21">
        <v>2</v>
      </c>
      <c r="D144" s="22" t="s">
        <v>286</v>
      </c>
      <c r="E144" s="23">
        <v>231656749759</v>
      </c>
      <c r="F144" s="23">
        <v>369057052400</v>
      </c>
      <c r="G144" s="23">
        <v>2121484056</v>
      </c>
      <c r="H144" s="23">
        <v>2587582598</v>
      </c>
    </row>
    <row r="145" spans="1:8" x14ac:dyDescent="0.2">
      <c r="A145" s="25" t="s">
        <v>287</v>
      </c>
      <c r="B145" s="24" t="s">
        <v>1007</v>
      </c>
      <c r="C145" s="26">
        <v>4</v>
      </c>
      <c r="D145" s="25" t="s">
        <v>288</v>
      </c>
      <c r="E145" s="28">
        <v>319190782</v>
      </c>
      <c r="F145" s="28">
        <v>1168712162</v>
      </c>
      <c r="G145" s="28">
        <v>0</v>
      </c>
      <c r="H145" s="28">
        <v>0</v>
      </c>
    </row>
    <row r="146" spans="1:8" s="33" customFormat="1" x14ac:dyDescent="0.2">
      <c r="A146" s="29" t="s">
        <v>289</v>
      </c>
      <c r="C146" s="30">
        <v>6</v>
      </c>
      <c r="D146" s="29" t="s">
        <v>290</v>
      </c>
      <c r="E146" s="32">
        <v>7566275</v>
      </c>
      <c r="F146" s="32">
        <v>10164577</v>
      </c>
      <c r="G146" s="32">
        <v>0</v>
      </c>
      <c r="H146" s="32">
        <v>0</v>
      </c>
    </row>
    <row r="147" spans="1:8" s="33" customFormat="1" x14ac:dyDescent="0.2">
      <c r="A147" s="29" t="s">
        <v>291</v>
      </c>
      <c r="C147" s="30">
        <v>6</v>
      </c>
      <c r="D147" s="29" t="s">
        <v>292</v>
      </c>
      <c r="E147" s="32">
        <v>163650993</v>
      </c>
      <c r="F147" s="32">
        <v>724335879</v>
      </c>
      <c r="G147" s="32">
        <v>0</v>
      </c>
      <c r="H147" s="32">
        <v>0</v>
      </c>
    </row>
    <row r="148" spans="1:8" s="33" customFormat="1" x14ac:dyDescent="0.2">
      <c r="A148" s="29" t="s">
        <v>293</v>
      </c>
      <c r="C148" s="30">
        <v>6</v>
      </c>
      <c r="D148" s="29" t="s">
        <v>294</v>
      </c>
      <c r="E148" s="32">
        <v>13634928</v>
      </c>
      <c r="F148" s="32">
        <v>83620152</v>
      </c>
      <c r="G148" s="32">
        <v>0</v>
      </c>
      <c r="H148" s="32">
        <v>0</v>
      </c>
    </row>
    <row r="149" spans="1:8" s="33" customFormat="1" x14ac:dyDescent="0.2">
      <c r="A149" s="29" t="s">
        <v>295</v>
      </c>
      <c r="C149" s="30">
        <v>6</v>
      </c>
      <c r="D149" s="29" t="s">
        <v>296</v>
      </c>
      <c r="E149" s="32">
        <v>132334539</v>
      </c>
      <c r="F149" s="32">
        <v>350591554</v>
      </c>
      <c r="G149" s="32">
        <v>0</v>
      </c>
      <c r="H149" s="32">
        <v>0</v>
      </c>
    </row>
    <row r="150" spans="1:8" s="33" customFormat="1" x14ac:dyDescent="0.2">
      <c r="A150" s="29" t="s">
        <v>297</v>
      </c>
      <c r="C150" s="30">
        <v>6</v>
      </c>
      <c r="D150" s="29" t="s">
        <v>298</v>
      </c>
      <c r="E150" s="32">
        <v>2004047</v>
      </c>
      <c r="F150" s="32">
        <v>0</v>
      </c>
      <c r="G150" s="32">
        <v>0</v>
      </c>
      <c r="H150" s="32">
        <v>0</v>
      </c>
    </row>
    <row r="151" spans="1:8" x14ac:dyDescent="0.2">
      <c r="A151" s="25" t="s">
        <v>299</v>
      </c>
      <c r="B151" s="24" t="s">
        <v>1007</v>
      </c>
      <c r="C151" s="26">
        <v>4</v>
      </c>
      <c r="D151" s="25" t="s">
        <v>300</v>
      </c>
      <c r="E151" s="28">
        <v>0</v>
      </c>
      <c r="F151" s="28">
        <v>0</v>
      </c>
      <c r="G151" s="28">
        <v>2121484056</v>
      </c>
      <c r="H151" s="28">
        <v>2587582598</v>
      </c>
    </row>
    <row r="152" spans="1:8" s="33" customFormat="1" x14ac:dyDescent="0.2">
      <c r="A152" s="29" t="s">
        <v>301</v>
      </c>
      <c r="C152" s="30">
        <v>6</v>
      </c>
      <c r="D152" s="29" t="s">
        <v>290</v>
      </c>
      <c r="E152" s="32">
        <v>0</v>
      </c>
      <c r="F152" s="32">
        <v>0</v>
      </c>
      <c r="G152" s="32">
        <v>5186301</v>
      </c>
      <c r="H152" s="32">
        <v>5826221</v>
      </c>
    </row>
    <row r="153" spans="1:8" s="33" customFormat="1" x14ac:dyDescent="0.2">
      <c r="A153" s="29" t="s">
        <v>302</v>
      </c>
      <c r="C153" s="30">
        <v>6</v>
      </c>
      <c r="D153" s="36" t="s">
        <v>292</v>
      </c>
      <c r="E153" s="32">
        <v>0</v>
      </c>
      <c r="F153" s="32">
        <v>0</v>
      </c>
      <c r="G153" s="32">
        <v>1104840107</v>
      </c>
      <c r="H153" s="32">
        <v>670216443</v>
      </c>
    </row>
    <row r="154" spans="1:8" s="33" customFormat="1" x14ac:dyDescent="0.2">
      <c r="A154" s="29" t="s">
        <v>303</v>
      </c>
      <c r="C154" s="30">
        <v>6</v>
      </c>
      <c r="D154" s="29" t="s">
        <v>294</v>
      </c>
      <c r="E154" s="32">
        <v>0</v>
      </c>
      <c r="F154" s="32">
        <v>0</v>
      </c>
      <c r="G154" s="32">
        <v>114883096</v>
      </c>
      <c r="H154" s="32">
        <v>80905277</v>
      </c>
    </row>
    <row r="155" spans="1:8" s="33" customFormat="1" x14ac:dyDescent="0.2">
      <c r="A155" s="29" t="s">
        <v>304</v>
      </c>
      <c r="C155" s="30">
        <v>6</v>
      </c>
      <c r="D155" s="29" t="s">
        <v>296</v>
      </c>
      <c r="E155" s="32">
        <v>0</v>
      </c>
      <c r="F155" s="32">
        <v>0</v>
      </c>
      <c r="G155" s="32">
        <v>483868474</v>
      </c>
      <c r="H155" s="32">
        <v>620001558</v>
      </c>
    </row>
    <row r="156" spans="1:8" s="33" customFormat="1" x14ac:dyDescent="0.2">
      <c r="A156" s="29" t="s">
        <v>305</v>
      </c>
      <c r="C156" s="30">
        <v>6</v>
      </c>
      <c r="D156" s="36" t="s">
        <v>306</v>
      </c>
      <c r="E156" s="32">
        <v>0</v>
      </c>
      <c r="F156" s="32">
        <v>0</v>
      </c>
      <c r="G156" s="32">
        <v>174725</v>
      </c>
      <c r="H156" s="32">
        <v>664548392</v>
      </c>
    </row>
    <row r="157" spans="1:8" s="33" customFormat="1" x14ac:dyDescent="0.2">
      <c r="A157" s="29" t="s">
        <v>307</v>
      </c>
      <c r="C157" s="30">
        <v>6</v>
      </c>
      <c r="D157" s="36" t="s">
        <v>308</v>
      </c>
      <c r="E157" s="32">
        <v>0</v>
      </c>
      <c r="F157" s="32">
        <v>0</v>
      </c>
      <c r="G157" s="32">
        <v>20192500</v>
      </c>
      <c r="H157" s="32">
        <v>24389200</v>
      </c>
    </row>
    <row r="158" spans="1:8" s="33" customFormat="1" x14ac:dyDescent="0.2">
      <c r="A158" s="29" t="s">
        <v>309</v>
      </c>
      <c r="C158" s="30">
        <v>6</v>
      </c>
      <c r="D158" s="36" t="s">
        <v>310</v>
      </c>
      <c r="E158" s="32">
        <v>0</v>
      </c>
      <c r="F158" s="32">
        <v>0</v>
      </c>
      <c r="G158" s="32">
        <v>3539534</v>
      </c>
      <c r="H158" s="32">
        <v>3539534</v>
      </c>
    </row>
    <row r="159" spans="1:8" s="33" customFormat="1" x14ac:dyDescent="0.2">
      <c r="A159" s="29" t="s">
        <v>311</v>
      </c>
      <c r="C159" s="30">
        <v>6</v>
      </c>
      <c r="D159" s="36" t="s">
        <v>312</v>
      </c>
      <c r="E159" s="32">
        <v>0</v>
      </c>
      <c r="F159" s="32">
        <v>0</v>
      </c>
      <c r="G159" s="32">
        <v>188078691</v>
      </c>
      <c r="H159" s="32">
        <v>217444196</v>
      </c>
    </row>
    <row r="160" spans="1:8" s="33" customFormat="1" x14ac:dyDescent="0.2">
      <c r="A160" s="29" t="s">
        <v>313</v>
      </c>
      <c r="C160" s="30">
        <v>6</v>
      </c>
      <c r="D160" s="36" t="s">
        <v>314</v>
      </c>
      <c r="E160" s="32">
        <v>0</v>
      </c>
      <c r="F160" s="32">
        <v>0</v>
      </c>
      <c r="G160" s="32">
        <v>136017628</v>
      </c>
      <c r="H160" s="32">
        <v>156757917</v>
      </c>
    </row>
    <row r="161" spans="1:8" s="33" customFormat="1" x14ac:dyDescent="0.2">
      <c r="A161" s="29" t="s">
        <v>315</v>
      </c>
      <c r="C161" s="30">
        <v>6</v>
      </c>
      <c r="D161" s="36" t="s">
        <v>316</v>
      </c>
      <c r="E161" s="32">
        <v>0</v>
      </c>
      <c r="F161" s="32">
        <v>0</v>
      </c>
      <c r="G161" s="32">
        <v>64703000</v>
      </c>
      <c r="H161" s="32">
        <v>72882600</v>
      </c>
    </row>
    <row r="162" spans="1:8" x14ac:dyDescent="0.2">
      <c r="A162" s="25" t="s">
        <v>317</v>
      </c>
      <c r="B162" s="24" t="s">
        <v>1008</v>
      </c>
      <c r="C162" s="26">
        <v>4</v>
      </c>
      <c r="D162" s="25" t="s">
        <v>256</v>
      </c>
      <c r="E162" s="28">
        <v>231337558977</v>
      </c>
      <c r="F162" s="28">
        <v>367888340238</v>
      </c>
      <c r="G162" s="28">
        <v>0</v>
      </c>
      <c r="H162" s="28">
        <v>0</v>
      </c>
    </row>
    <row r="163" spans="1:8" s="33" customFormat="1" x14ac:dyDescent="0.2">
      <c r="A163" s="29" t="s">
        <v>318</v>
      </c>
      <c r="C163" s="30">
        <v>6</v>
      </c>
      <c r="D163" s="34" t="s">
        <v>258</v>
      </c>
      <c r="E163" s="32">
        <v>2011966470</v>
      </c>
      <c r="F163" s="32">
        <v>3251342508</v>
      </c>
      <c r="G163" s="32">
        <v>0</v>
      </c>
      <c r="H163" s="32">
        <v>0</v>
      </c>
    </row>
    <row r="164" spans="1:8" s="33" customFormat="1" x14ac:dyDescent="0.2">
      <c r="A164" s="29" t="s">
        <v>319</v>
      </c>
      <c r="C164" s="30">
        <v>6</v>
      </c>
      <c r="D164" s="29" t="s">
        <v>262</v>
      </c>
      <c r="E164" s="32">
        <v>51687679</v>
      </c>
      <c r="F164" s="32">
        <v>118146859</v>
      </c>
      <c r="G164" s="32">
        <v>0</v>
      </c>
      <c r="H164" s="32">
        <v>0</v>
      </c>
    </row>
    <row r="165" spans="1:8" s="33" customFormat="1" x14ac:dyDescent="0.2">
      <c r="A165" s="29" t="s">
        <v>320</v>
      </c>
      <c r="C165" s="30">
        <v>6</v>
      </c>
      <c r="D165" s="29" t="s">
        <v>264</v>
      </c>
      <c r="E165" s="32">
        <v>5604876120</v>
      </c>
      <c r="F165" s="32">
        <v>797745852</v>
      </c>
      <c r="G165" s="32">
        <v>0</v>
      </c>
      <c r="H165" s="32">
        <v>0</v>
      </c>
    </row>
    <row r="166" spans="1:8" s="33" customFormat="1" ht="15.75" customHeight="1" x14ac:dyDescent="0.2">
      <c r="A166" s="29" t="s">
        <v>321</v>
      </c>
      <c r="C166" s="30">
        <v>6</v>
      </c>
      <c r="D166" s="29" t="s">
        <v>322</v>
      </c>
      <c r="E166" s="32">
        <v>208692452871</v>
      </c>
      <c r="F166" s="32">
        <v>351026475532</v>
      </c>
      <c r="G166" s="32">
        <v>0</v>
      </c>
      <c r="H166" s="32">
        <v>0</v>
      </c>
    </row>
    <row r="167" spans="1:8" s="33" customFormat="1" x14ac:dyDescent="0.2">
      <c r="A167" s="29" t="s">
        <v>323</v>
      </c>
      <c r="C167" s="30">
        <v>6</v>
      </c>
      <c r="D167" s="34" t="s">
        <v>268</v>
      </c>
      <c r="E167" s="32">
        <v>0</v>
      </c>
      <c r="F167" s="32">
        <v>12667703689</v>
      </c>
      <c r="G167" s="32">
        <v>0</v>
      </c>
      <c r="H167" s="32">
        <v>0</v>
      </c>
    </row>
    <row r="168" spans="1:8" s="33" customFormat="1" x14ac:dyDescent="0.2">
      <c r="A168" s="29" t="s">
        <v>324</v>
      </c>
      <c r="C168" s="30">
        <v>6</v>
      </c>
      <c r="D168" s="29" t="s">
        <v>270</v>
      </c>
      <c r="E168" s="32">
        <v>14976575837</v>
      </c>
      <c r="F168" s="32">
        <v>26925798</v>
      </c>
      <c r="G168" s="32">
        <v>0</v>
      </c>
      <c r="H168" s="32">
        <v>0</v>
      </c>
    </row>
    <row r="169" spans="1:8" ht="12.75" x14ac:dyDescent="0.2">
      <c r="A169" s="20" t="s">
        <v>325</v>
      </c>
      <c r="B169" s="22"/>
      <c r="C169" s="21">
        <v>2</v>
      </c>
      <c r="D169" s="22" t="s">
        <v>326</v>
      </c>
      <c r="E169" s="23">
        <v>93197023866</v>
      </c>
      <c r="F169" s="23">
        <v>142491997357</v>
      </c>
      <c r="G169" s="23">
        <v>328734987168.19678</v>
      </c>
      <c r="H169" s="23">
        <v>314510180820.19678</v>
      </c>
    </row>
    <row r="170" spans="1:8" x14ac:dyDescent="0.2">
      <c r="A170" s="25" t="s">
        <v>327</v>
      </c>
      <c r="B170" s="33" t="s">
        <v>1012</v>
      </c>
      <c r="C170" s="26">
        <v>4</v>
      </c>
      <c r="D170" s="25" t="s">
        <v>328</v>
      </c>
      <c r="E170" s="28">
        <v>0</v>
      </c>
      <c r="F170" s="28">
        <v>0</v>
      </c>
      <c r="G170" s="28">
        <v>311649949</v>
      </c>
      <c r="H170" s="28">
        <v>457943064</v>
      </c>
    </row>
    <row r="171" spans="1:8" s="33" customFormat="1" x14ac:dyDescent="0.2">
      <c r="A171" s="29" t="s">
        <v>329</v>
      </c>
      <c r="C171" s="30">
        <v>6</v>
      </c>
      <c r="D171" s="34" t="s">
        <v>330</v>
      </c>
      <c r="E171" s="32">
        <v>0</v>
      </c>
      <c r="F171" s="32">
        <v>0</v>
      </c>
      <c r="G171" s="32">
        <v>311649949</v>
      </c>
      <c r="H171" s="32">
        <v>457943064</v>
      </c>
    </row>
    <row r="172" spans="1:8" x14ac:dyDescent="0.2">
      <c r="A172" s="25" t="s">
        <v>331</v>
      </c>
      <c r="B172" s="33" t="s">
        <v>1012</v>
      </c>
      <c r="C172" s="26">
        <v>4</v>
      </c>
      <c r="D172" s="25" t="s">
        <v>332</v>
      </c>
      <c r="E172" s="28">
        <v>92218173073</v>
      </c>
      <c r="F172" s="28">
        <v>15675979</v>
      </c>
      <c r="G172" s="28">
        <v>0</v>
      </c>
      <c r="H172" s="28">
        <v>0</v>
      </c>
    </row>
    <row r="173" spans="1:8" s="33" customFormat="1" x14ac:dyDescent="0.2">
      <c r="A173" s="29" t="s">
        <v>333</v>
      </c>
      <c r="C173" s="30">
        <v>6</v>
      </c>
      <c r="D173" s="29" t="s">
        <v>334</v>
      </c>
      <c r="E173" s="32">
        <v>0</v>
      </c>
      <c r="F173" s="32">
        <v>7975979</v>
      </c>
      <c r="G173" s="32">
        <v>0</v>
      </c>
      <c r="H173" s="32">
        <v>0</v>
      </c>
    </row>
    <row r="174" spans="1:8" s="33" customFormat="1" x14ac:dyDescent="0.2">
      <c r="A174" s="29" t="s">
        <v>335</v>
      </c>
      <c r="C174" s="30">
        <v>6</v>
      </c>
      <c r="D174" s="29" t="s">
        <v>336</v>
      </c>
      <c r="E174" s="32">
        <v>92218173073</v>
      </c>
      <c r="F174" s="32">
        <v>7700000</v>
      </c>
      <c r="G174" s="32">
        <v>0</v>
      </c>
      <c r="H174" s="32">
        <v>0</v>
      </c>
    </row>
    <row r="175" spans="1:8" x14ac:dyDescent="0.2">
      <c r="A175" s="25" t="s">
        <v>337</v>
      </c>
      <c r="C175" s="26">
        <v>4</v>
      </c>
      <c r="D175" s="25" t="s">
        <v>338</v>
      </c>
      <c r="E175" s="28">
        <v>978850793</v>
      </c>
      <c r="F175" s="28">
        <v>142476321378</v>
      </c>
      <c r="G175" s="28">
        <v>328423337219.19678</v>
      </c>
      <c r="H175" s="28">
        <v>314052237756.19678</v>
      </c>
    </row>
    <row r="176" spans="1:8" s="33" customFormat="1" x14ac:dyDescent="0.2">
      <c r="A176" s="29" t="s">
        <v>339</v>
      </c>
      <c r="B176" s="33" t="s">
        <v>1012</v>
      </c>
      <c r="C176" s="30">
        <v>6</v>
      </c>
      <c r="D176" s="29" t="s">
        <v>207</v>
      </c>
      <c r="E176" s="32">
        <v>21916462</v>
      </c>
      <c r="F176" s="32">
        <v>21916462</v>
      </c>
      <c r="G176" s="32">
        <v>0</v>
      </c>
      <c r="H176" s="32">
        <v>0</v>
      </c>
    </row>
    <row r="177" spans="1:8" s="33" customFormat="1" x14ac:dyDescent="0.2">
      <c r="A177" s="29" t="s">
        <v>340</v>
      </c>
      <c r="B177" s="33" t="s">
        <v>1011</v>
      </c>
      <c r="C177" s="30">
        <v>6</v>
      </c>
      <c r="D177" s="29" t="s">
        <v>341</v>
      </c>
      <c r="E177" s="32">
        <v>0</v>
      </c>
      <c r="F177" s="32">
        <v>130404668455</v>
      </c>
      <c r="G177" s="32">
        <v>113877500631</v>
      </c>
      <c r="H177" s="32">
        <v>144945164094</v>
      </c>
    </row>
    <row r="178" spans="1:8" s="33" customFormat="1" x14ac:dyDescent="0.2">
      <c r="A178" s="29" t="s">
        <v>342</v>
      </c>
      <c r="B178" s="33" t="s">
        <v>1011</v>
      </c>
      <c r="C178" s="30">
        <v>6</v>
      </c>
      <c r="D178" s="29" t="s">
        <v>343</v>
      </c>
      <c r="E178" s="32">
        <v>0</v>
      </c>
      <c r="F178" s="32">
        <v>10514955247</v>
      </c>
      <c r="G178" s="32">
        <v>52881577541</v>
      </c>
      <c r="H178" s="32">
        <v>50157810735</v>
      </c>
    </row>
    <row r="179" spans="1:8" s="33" customFormat="1" x14ac:dyDescent="0.2">
      <c r="A179" s="29" t="s">
        <v>344</v>
      </c>
      <c r="B179" s="33" t="s">
        <v>1011</v>
      </c>
      <c r="C179" s="30">
        <v>6</v>
      </c>
      <c r="D179" s="37" t="s">
        <v>345</v>
      </c>
      <c r="E179" s="32">
        <v>0</v>
      </c>
      <c r="F179" s="32">
        <v>1346513214</v>
      </c>
      <c r="G179" s="32">
        <v>2417031138.1967988</v>
      </c>
      <c r="H179" s="32">
        <v>2095502175.1967988</v>
      </c>
    </row>
    <row r="180" spans="1:8" s="33" customFormat="1" x14ac:dyDescent="0.2">
      <c r="A180" s="29" t="s">
        <v>346</v>
      </c>
      <c r="B180" s="33" t="s">
        <v>1012</v>
      </c>
      <c r="C180" s="30">
        <v>6</v>
      </c>
      <c r="D180" s="29" t="s">
        <v>347</v>
      </c>
      <c r="E180" s="32">
        <v>956934331</v>
      </c>
      <c r="F180" s="32">
        <v>188268000</v>
      </c>
      <c r="G180" s="32">
        <v>159247227909</v>
      </c>
      <c r="H180" s="32">
        <v>116853760752</v>
      </c>
    </row>
    <row r="181" spans="1:8" ht="12.75" x14ac:dyDescent="0.2">
      <c r="A181" s="20" t="s">
        <v>348</v>
      </c>
      <c r="B181" s="22"/>
      <c r="C181" s="21">
        <v>2</v>
      </c>
      <c r="D181" s="22" t="s">
        <v>349</v>
      </c>
      <c r="E181" s="23">
        <v>0</v>
      </c>
      <c r="F181" s="23">
        <v>0</v>
      </c>
      <c r="G181" s="23">
        <v>111834861</v>
      </c>
      <c r="H181" s="23">
        <v>111834861</v>
      </c>
    </row>
    <row r="182" spans="1:8" x14ac:dyDescent="0.2">
      <c r="A182" s="25" t="s">
        <v>350</v>
      </c>
      <c r="B182" s="24" t="s">
        <v>1010</v>
      </c>
      <c r="C182" s="26">
        <v>4</v>
      </c>
      <c r="D182" s="25" t="s">
        <v>244</v>
      </c>
      <c r="E182" s="28">
        <v>0</v>
      </c>
      <c r="F182" s="28">
        <v>0</v>
      </c>
      <c r="G182" s="28">
        <v>111834861</v>
      </c>
      <c r="H182" s="28">
        <v>111834861</v>
      </c>
    </row>
    <row r="183" spans="1:8" s="33" customFormat="1" x14ac:dyDescent="0.2">
      <c r="A183" s="29" t="s">
        <v>351</v>
      </c>
      <c r="C183" s="30">
        <v>6</v>
      </c>
      <c r="D183" s="29" t="s">
        <v>246</v>
      </c>
      <c r="E183" s="32">
        <v>0</v>
      </c>
      <c r="F183" s="32">
        <v>0</v>
      </c>
      <c r="G183" s="32">
        <v>111834861</v>
      </c>
      <c r="H183" s="32">
        <v>111834861</v>
      </c>
    </row>
    <row r="184" spans="1:8" s="16" customFormat="1" ht="15" x14ac:dyDescent="0.25">
      <c r="A184" s="17" t="s">
        <v>352</v>
      </c>
      <c r="B184" s="106"/>
      <c r="C184" s="18">
        <v>1</v>
      </c>
      <c r="D184" s="17" t="s">
        <v>353</v>
      </c>
      <c r="E184" s="19">
        <v>-60168232589</v>
      </c>
      <c r="F184" s="19">
        <v>-169498417215</v>
      </c>
      <c r="G184" s="19">
        <v>-277239245463</v>
      </c>
      <c r="H184" s="19">
        <v>-672239351599</v>
      </c>
    </row>
    <row r="185" spans="1:8" ht="12.75" x14ac:dyDescent="0.2">
      <c r="A185" s="20" t="s">
        <v>354</v>
      </c>
      <c r="B185" s="22"/>
      <c r="C185" s="21">
        <v>2</v>
      </c>
      <c r="D185" s="22" t="s">
        <v>355</v>
      </c>
      <c r="E185" s="23">
        <v>-60168232589</v>
      </c>
      <c r="F185" s="23">
        <v>-169498417215</v>
      </c>
      <c r="G185" s="23">
        <v>-277239245463</v>
      </c>
      <c r="H185" s="23">
        <v>-672239351599</v>
      </c>
    </row>
    <row r="186" spans="1:8" x14ac:dyDescent="0.2">
      <c r="A186" s="25" t="s">
        <v>356</v>
      </c>
      <c r="B186" s="24" t="s">
        <v>1013</v>
      </c>
      <c r="C186" s="26">
        <v>4</v>
      </c>
      <c r="D186" s="25" t="s">
        <v>357</v>
      </c>
      <c r="E186" s="28">
        <v>81852000000</v>
      </c>
      <c r="F186" s="28">
        <v>81852000000</v>
      </c>
      <c r="G186" s="28">
        <v>81852000000</v>
      </c>
      <c r="H186" s="28">
        <v>81852000000</v>
      </c>
    </row>
    <row r="187" spans="1:8" s="33" customFormat="1" x14ac:dyDescent="0.2">
      <c r="A187" s="29" t="s">
        <v>358</v>
      </c>
      <c r="C187" s="30">
        <v>6</v>
      </c>
      <c r="D187" s="29" t="s">
        <v>359</v>
      </c>
      <c r="E187" s="32">
        <v>81852000000</v>
      </c>
      <c r="F187" s="32">
        <v>81852000000</v>
      </c>
      <c r="G187" s="32">
        <v>581852000000</v>
      </c>
      <c r="H187" s="32">
        <v>581852000000</v>
      </c>
    </row>
    <row r="188" spans="1:8" s="33" customFormat="1" x14ac:dyDescent="0.2">
      <c r="A188" s="29" t="s">
        <v>360</v>
      </c>
      <c r="C188" s="30">
        <v>6</v>
      </c>
      <c r="D188" s="29" t="s">
        <v>361</v>
      </c>
      <c r="E188" s="32">
        <v>0</v>
      </c>
      <c r="F188" s="32">
        <v>0</v>
      </c>
      <c r="G188" s="32">
        <v>-500000000000</v>
      </c>
      <c r="H188" s="32">
        <v>-500000000000</v>
      </c>
    </row>
    <row r="189" spans="1:8" x14ac:dyDescent="0.2">
      <c r="A189" s="25" t="s">
        <v>362</v>
      </c>
      <c r="B189" s="24" t="s">
        <v>1014</v>
      </c>
      <c r="C189" s="26">
        <v>4</v>
      </c>
      <c r="D189" s="25" t="s">
        <v>363</v>
      </c>
      <c r="E189" s="28">
        <v>-142020232589</v>
      </c>
      <c r="F189" s="28">
        <v>-251350417215</v>
      </c>
      <c r="G189" s="28">
        <v>-370723152544</v>
      </c>
      <c r="H189" s="28">
        <v>-765723258680</v>
      </c>
    </row>
    <row r="190" spans="1:8" s="33" customFormat="1" x14ac:dyDescent="0.2">
      <c r="A190" s="29" t="s">
        <v>364</v>
      </c>
      <c r="C190" s="30">
        <v>6</v>
      </c>
      <c r="D190" s="29" t="s">
        <v>365</v>
      </c>
      <c r="E190" s="32">
        <v>-142020232589</v>
      </c>
      <c r="F190" s="32">
        <v>-251350417215</v>
      </c>
      <c r="G190" s="32">
        <v>0</v>
      </c>
      <c r="H190" s="32">
        <v>0</v>
      </c>
    </row>
    <row r="191" spans="1:8" s="33" customFormat="1" x14ac:dyDescent="0.2">
      <c r="A191" s="29" t="s">
        <v>366</v>
      </c>
      <c r="C191" s="30">
        <v>6</v>
      </c>
      <c r="D191" s="29" t="s">
        <v>365</v>
      </c>
      <c r="E191" s="32">
        <v>0</v>
      </c>
      <c r="F191" s="32">
        <v>0</v>
      </c>
      <c r="G191" s="32">
        <v>-370723152544</v>
      </c>
      <c r="H191" s="32">
        <v>-765723258680</v>
      </c>
    </row>
    <row r="192" spans="1:8" x14ac:dyDescent="0.2">
      <c r="A192" s="25" t="s">
        <v>367</v>
      </c>
      <c r="B192" s="24" t="s">
        <v>1015</v>
      </c>
      <c r="C192" s="26">
        <v>4</v>
      </c>
      <c r="D192" s="25" t="s">
        <v>368</v>
      </c>
      <c r="E192" s="28">
        <v>0</v>
      </c>
      <c r="F192" s="28">
        <v>0</v>
      </c>
      <c r="G192" s="28">
        <v>11631907081</v>
      </c>
      <c r="H192" s="28">
        <v>11631907081</v>
      </c>
    </row>
    <row r="193" spans="1:8" s="33" customFormat="1" x14ac:dyDescent="0.2">
      <c r="A193" s="29" t="s">
        <v>369</v>
      </c>
      <c r="C193" s="30">
        <v>6</v>
      </c>
      <c r="D193" s="29" t="s">
        <v>59</v>
      </c>
      <c r="E193" s="32">
        <v>0</v>
      </c>
      <c r="F193" s="32">
        <v>0</v>
      </c>
      <c r="G193" s="32">
        <v>10927422577</v>
      </c>
      <c r="H193" s="32">
        <v>10927422577</v>
      </c>
    </row>
    <row r="194" spans="1:8" s="33" customFormat="1" x14ac:dyDescent="0.2">
      <c r="A194" s="29" t="s">
        <v>370</v>
      </c>
      <c r="C194" s="30">
        <v>6</v>
      </c>
      <c r="D194" s="29" t="s">
        <v>371</v>
      </c>
      <c r="E194" s="32">
        <v>0</v>
      </c>
      <c r="F194" s="32">
        <v>0</v>
      </c>
      <c r="G194" s="32">
        <v>-163742545</v>
      </c>
      <c r="H194" s="32">
        <v>-163742545</v>
      </c>
    </row>
    <row r="195" spans="1:8" s="33" customFormat="1" x14ac:dyDescent="0.2">
      <c r="A195" s="29" t="s">
        <v>372</v>
      </c>
      <c r="C195" s="30">
        <v>6</v>
      </c>
      <c r="D195" s="29" t="s">
        <v>150</v>
      </c>
      <c r="E195" s="32">
        <v>0</v>
      </c>
      <c r="F195" s="32">
        <v>0</v>
      </c>
      <c r="G195" s="32">
        <v>868227049</v>
      </c>
      <c r="H195" s="32">
        <v>868227049</v>
      </c>
    </row>
    <row r="196" spans="1:8" s="16" customFormat="1" ht="15" x14ac:dyDescent="0.25">
      <c r="A196" s="17" t="s">
        <v>373</v>
      </c>
      <c r="B196" s="106"/>
      <c r="C196" s="18">
        <v>1</v>
      </c>
      <c r="D196" s="17" t="s">
        <v>374</v>
      </c>
      <c r="E196" s="19">
        <v>1226657511723</v>
      </c>
      <c r="F196" s="19">
        <v>1397066924268</v>
      </c>
      <c r="G196" s="19">
        <v>1465656640989</v>
      </c>
      <c r="H196" s="19">
        <v>710244288156</v>
      </c>
    </row>
    <row r="197" spans="1:8" ht="12.75" x14ac:dyDescent="0.2">
      <c r="A197" s="20" t="s">
        <v>375</v>
      </c>
      <c r="B197" s="22"/>
      <c r="C197" s="21">
        <v>2</v>
      </c>
      <c r="D197" s="22" t="s">
        <v>376</v>
      </c>
      <c r="E197" s="23">
        <v>1190425478954</v>
      </c>
      <c r="F197" s="23">
        <v>1349953464576</v>
      </c>
      <c r="G197" s="23">
        <v>1444415524848</v>
      </c>
      <c r="H197" s="23">
        <v>663067023178</v>
      </c>
    </row>
    <row r="198" spans="1:8" x14ac:dyDescent="0.2">
      <c r="A198" s="25" t="s">
        <v>377</v>
      </c>
      <c r="C198" s="26">
        <v>4</v>
      </c>
      <c r="D198" s="25" t="s">
        <v>378</v>
      </c>
      <c r="E198" s="28">
        <v>1190425478954</v>
      </c>
      <c r="F198" s="28">
        <v>1349953464576</v>
      </c>
      <c r="G198" s="28">
        <v>1444415524848</v>
      </c>
      <c r="H198" s="28">
        <v>663067023178</v>
      </c>
    </row>
    <row r="199" spans="1:8" s="33" customFormat="1" x14ac:dyDescent="0.2">
      <c r="A199" s="29" t="s">
        <v>379</v>
      </c>
      <c r="B199" s="33" t="s">
        <v>1016</v>
      </c>
      <c r="C199" s="30">
        <v>6</v>
      </c>
      <c r="D199" s="29" t="s">
        <v>380</v>
      </c>
      <c r="E199" s="32">
        <v>7494929691</v>
      </c>
      <c r="F199" s="32">
        <v>27240918906</v>
      </c>
      <c r="G199" s="32">
        <v>53518151467</v>
      </c>
      <c r="H199" s="32">
        <v>29146817849</v>
      </c>
    </row>
    <row r="200" spans="1:8" s="33" customFormat="1" x14ac:dyDescent="0.2">
      <c r="A200" s="29" t="s">
        <v>381</v>
      </c>
      <c r="B200" s="33" t="s">
        <v>1018</v>
      </c>
      <c r="C200" s="30">
        <v>6</v>
      </c>
      <c r="D200" s="29" t="s">
        <v>382</v>
      </c>
      <c r="E200" s="32">
        <v>0</v>
      </c>
      <c r="F200" s="32">
        <v>0</v>
      </c>
      <c r="G200" s="32">
        <v>221221496</v>
      </c>
      <c r="H200" s="32">
        <v>137027577</v>
      </c>
    </row>
    <row r="201" spans="1:8" s="33" customFormat="1" x14ac:dyDescent="0.2">
      <c r="A201" s="29" t="s">
        <v>383</v>
      </c>
      <c r="B201" s="33" t="s">
        <v>1017</v>
      </c>
      <c r="C201" s="30">
        <v>6</v>
      </c>
      <c r="D201" s="29" t="s">
        <v>384</v>
      </c>
      <c r="E201" s="32">
        <v>1087684191507</v>
      </c>
      <c r="F201" s="32">
        <v>1223662739009</v>
      </c>
      <c r="G201" s="32">
        <v>1314961781294</v>
      </c>
      <c r="H201" s="32">
        <v>605218047517</v>
      </c>
    </row>
    <row r="202" spans="1:8" s="33" customFormat="1" x14ac:dyDescent="0.2">
      <c r="A202" s="29" t="s">
        <v>385</v>
      </c>
      <c r="B202" s="33" t="s">
        <v>1019</v>
      </c>
      <c r="C202" s="30">
        <v>6</v>
      </c>
      <c r="D202" s="29" t="s">
        <v>386</v>
      </c>
      <c r="E202" s="32">
        <v>3752703650</v>
      </c>
      <c r="F202" s="32">
        <v>3229138644</v>
      </c>
      <c r="G202" s="32">
        <v>3415028835</v>
      </c>
      <c r="H202" s="32">
        <v>1308686003</v>
      </c>
    </row>
    <row r="203" spans="1:8" s="33" customFormat="1" x14ac:dyDescent="0.2">
      <c r="A203" s="29" t="s">
        <v>387</v>
      </c>
      <c r="B203" s="33" t="s">
        <v>1020</v>
      </c>
      <c r="C203" s="30">
        <v>6</v>
      </c>
      <c r="D203" s="29" t="s">
        <v>65</v>
      </c>
      <c r="E203" s="32">
        <v>6537408745</v>
      </c>
      <c r="F203" s="32">
        <v>8870692780</v>
      </c>
      <c r="G203" s="32">
        <v>8587753423</v>
      </c>
      <c r="H203" s="32">
        <v>0</v>
      </c>
    </row>
    <row r="204" spans="1:8" s="33" customFormat="1" x14ac:dyDescent="0.2">
      <c r="A204" s="29" t="s">
        <v>388</v>
      </c>
      <c r="B204" s="33" t="s">
        <v>1021</v>
      </c>
      <c r="C204" s="30">
        <v>6</v>
      </c>
      <c r="D204" s="29" t="s">
        <v>389</v>
      </c>
      <c r="E204" s="32">
        <v>53482782</v>
      </c>
      <c r="F204" s="32">
        <v>105908555</v>
      </c>
      <c r="G204" s="32">
        <v>1974759539</v>
      </c>
      <c r="H204" s="32">
        <v>1126924864</v>
      </c>
    </row>
    <row r="205" spans="1:8" s="33" customFormat="1" x14ac:dyDescent="0.2">
      <c r="A205" s="29" t="s">
        <v>390</v>
      </c>
      <c r="B205" s="33" t="s">
        <v>1022</v>
      </c>
      <c r="C205" s="30">
        <v>6</v>
      </c>
      <c r="D205" s="29" t="s">
        <v>77</v>
      </c>
      <c r="E205" s="32">
        <v>84902762579</v>
      </c>
      <c r="F205" s="32">
        <v>86844066682</v>
      </c>
      <c r="G205" s="32">
        <v>61736828794</v>
      </c>
      <c r="H205" s="32">
        <v>25837233232</v>
      </c>
    </row>
    <row r="206" spans="1:8" ht="12.75" x14ac:dyDescent="0.2">
      <c r="A206" s="20" t="s">
        <v>391</v>
      </c>
      <c r="B206" s="22"/>
      <c r="C206" s="21">
        <v>2</v>
      </c>
      <c r="D206" s="22" t="s">
        <v>392</v>
      </c>
      <c r="E206" s="23">
        <v>36232032769</v>
      </c>
      <c r="F206" s="23">
        <v>47113459692</v>
      </c>
      <c r="G206" s="23">
        <v>21241116141</v>
      </c>
      <c r="H206" s="23">
        <v>47177264978</v>
      </c>
    </row>
    <row r="207" spans="1:8" x14ac:dyDescent="0.2">
      <c r="A207" s="25" t="s">
        <v>393</v>
      </c>
      <c r="B207" s="24" t="s">
        <v>1023</v>
      </c>
      <c r="C207" s="26">
        <v>4</v>
      </c>
      <c r="D207" s="25" t="s">
        <v>394</v>
      </c>
      <c r="E207" s="28">
        <v>0</v>
      </c>
      <c r="F207" s="28">
        <v>0</v>
      </c>
      <c r="G207" s="28">
        <v>4177150446</v>
      </c>
      <c r="H207" s="28">
        <v>1704194838</v>
      </c>
    </row>
    <row r="208" spans="1:8" s="33" customFormat="1" x14ac:dyDescent="0.2">
      <c r="A208" s="29" t="s">
        <v>395</v>
      </c>
      <c r="C208" s="30">
        <v>6</v>
      </c>
      <c r="D208" s="29" t="s">
        <v>396</v>
      </c>
      <c r="E208" s="32">
        <v>0</v>
      </c>
      <c r="F208" s="32">
        <v>0</v>
      </c>
      <c r="G208" s="32">
        <v>693496735</v>
      </c>
      <c r="H208" s="32">
        <v>227517168</v>
      </c>
    </row>
    <row r="209" spans="1:8" s="33" customFormat="1" x14ac:dyDescent="0.2">
      <c r="A209" s="29" t="s">
        <v>397</v>
      </c>
      <c r="C209" s="30">
        <v>6</v>
      </c>
      <c r="D209" s="29" t="s">
        <v>398</v>
      </c>
      <c r="E209" s="32">
        <v>0</v>
      </c>
      <c r="F209" s="32">
        <v>0</v>
      </c>
      <c r="G209" s="32">
        <v>1206896834</v>
      </c>
      <c r="H209" s="32">
        <v>921116977</v>
      </c>
    </row>
    <row r="210" spans="1:8" s="33" customFormat="1" x14ac:dyDescent="0.2">
      <c r="A210" s="29" t="s">
        <v>399</v>
      </c>
      <c r="C210" s="30">
        <v>6</v>
      </c>
      <c r="D210" s="29" t="s">
        <v>400</v>
      </c>
      <c r="E210" s="32">
        <v>0</v>
      </c>
      <c r="F210" s="32">
        <v>0</v>
      </c>
      <c r="G210" s="32">
        <v>23629152</v>
      </c>
      <c r="H210" s="32">
        <v>5208305</v>
      </c>
    </row>
    <row r="211" spans="1:8" s="33" customFormat="1" x14ac:dyDescent="0.2">
      <c r="A211" s="29" t="s">
        <v>401</v>
      </c>
      <c r="C211" s="30">
        <v>6</v>
      </c>
      <c r="D211" s="29" t="s">
        <v>402</v>
      </c>
      <c r="E211" s="32">
        <v>0</v>
      </c>
      <c r="F211" s="32">
        <v>0</v>
      </c>
      <c r="G211" s="32">
        <v>2253127725</v>
      </c>
      <c r="H211" s="32">
        <v>550352388</v>
      </c>
    </row>
    <row r="212" spans="1:8" x14ac:dyDescent="0.2">
      <c r="A212" s="25" t="s">
        <v>403</v>
      </c>
      <c r="B212" s="24" t="s">
        <v>1023</v>
      </c>
      <c r="C212" s="26">
        <v>4</v>
      </c>
      <c r="D212" s="25" t="s">
        <v>394</v>
      </c>
      <c r="E212" s="28">
        <v>3518851459</v>
      </c>
      <c r="F212" s="28">
        <v>1697101859</v>
      </c>
      <c r="G212" s="28">
        <v>0</v>
      </c>
      <c r="H212" s="28">
        <v>0</v>
      </c>
    </row>
    <row r="213" spans="1:8" s="33" customFormat="1" x14ac:dyDescent="0.2">
      <c r="A213" s="29" t="s">
        <v>404</v>
      </c>
      <c r="C213" s="30">
        <v>6</v>
      </c>
      <c r="D213" s="29" t="s">
        <v>396</v>
      </c>
      <c r="E213" s="32">
        <v>307003039</v>
      </c>
      <c r="F213" s="32">
        <v>246495101</v>
      </c>
      <c r="G213" s="32">
        <v>0</v>
      </c>
      <c r="H213" s="32">
        <v>0</v>
      </c>
    </row>
    <row r="214" spans="1:8" s="33" customFormat="1" x14ac:dyDescent="0.2">
      <c r="A214" s="29" t="s">
        <v>405</v>
      </c>
      <c r="C214" s="30">
        <v>6</v>
      </c>
      <c r="D214" s="29" t="s">
        <v>400</v>
      </c>
      <c r="E214" s="32">
        <v>3098258</v>
      </c>
      <c r="F214" s="32">
        <v>23774272</v>
      </c>
      <c r="G214" s="32">
        <v>0</v>
      </c>
      <c r="H214" s="32">
        <v>0</v>
      </c>
    </row>
    <row r="215" spans="1:8" s="33" customFormat="1" x14ac:dyDescent="0.2">
      <c r="A215" s="29" t="s">
        <v>406</v>
      </c>
      <c r="C215" s="30">
        <v>6</v>
      </c>
      <c r="D215" s="29" t="s">
        <v>402</v>
      </c>
      <c r="E215" s="32">
        <v>3208750162</v>
      </c>
      <c r="F215" s="32">
        <v>1426832486</v>
      </c>
      <c r="G215" s="32">
        <v>0</v>
      </c>
      <c r="H215" s="32">
        <v>0</v>
      </c>
    </row>
    <row r="216" spans="1:8" x14ac:dyDescent="0.2">
      <c r="A216" s="25" t="s">
        <v>407</v>
      </c>
      <c r="B216" s="24" t="s">
        <v>1024</v>
      </c>
      <c r="C216" s="26">
        <v>4</v>
      </c>
      <c r="D216" s="25" t="s">
        <v>408</v>
      </c>
      <c r="E216" s="28">
        <v>0</v>
      </c>
      <c r="F216" s="28">
        <v>500000</v>
      </c>
      <c r="G216" s="28">
        <v>17063965695</v>
      </c>
      <c r="H216" s="28">
        <v>45473070140</v>
      </c>
    </row>
    <row r="217" spans="1:8" s="33" customFormat="1" x14ac:dyDescent="0.2">
      <c r="A217" s="29" t="s">
        <v>409</v>
      </c>
      <c r="C217" s="30">
        <v>6</v>
      </c>
      <c r="D217" s="34" t="s">
        <v>410</v>
      </c>
      <c r="E217" s="32">
        <v>0</v>
      </c>
      <c r="F217" s="32">
        <v>500000</v>
      </c>
      <c r="G217" s="32">
        <v>0</v>
      </c>
      <c r="H217" s="32">
        <v>0</v>
      </c>
    </row>
    <row r="218" spans="1:8" s="33" customFormat="1" x14ac:dyDescent="0.2">
      <c r="A218" s="29" t="s">
        <v>411</v>
      </c>
      <c r="C218" s="30">
        <v>6</v>
      </c>
      <c r="D218" s="29" t="s">
        <v>412</v>
      </c>
      <c r="E218" s="32">
        <v>0</v>
      </c>
      <c r="F218" s="32">
        <v>0</v>
      </c>
      <c r="G218" s="32">
        <v>17062892794</v>
      </c>
      <c r="H218" s="32">
        <v>45182655237</v>
      </c>
    </row>
    <row r="219" spans="1:8" s="33" customFormat="1" x14ac:dyDescent="0.2">
      <c r="A219" s="29" t="s">
        <v>413</v>
      </c>
      <c r="C219" s="30">
        <v>6</v>
      </c>
      <c r="D219" s="29" t="s">
        <v>414</v>
      </c>
      <c r="E219" s="32">
        <v>0</v>
      </c>
      <c r="F219" s="32">
        <v>0</v>
      </c>
      <c r="G219" s="32">
        <v>111243</v>
      </c>
      <c r="H219" s="32">
        <v>177340</v>
      </c>
    </row>
    <row r="220" spans="1:8" s="33" customFormat="1" x14ac:dyDescent="0.2">
      <c r="A220" s="29" t="s">
        <v>415</v>
      </c>
      <c r="C220" s="30">
        <v>6</v>
      </c>
      <c r="D220" s="29" t="s">
        <v>416</v>
      </c>
      <c r="E220" s="32">
        <v>0</v>
      </c>
      <c r="F220" s="32">
        <v>0</v>
      </c>
      <c r="G220" s="32">
        <v>961658</v>
      </c>
      <c r="H220" s="32">
        <v>290237563</v>
      </c>
    </row>
    <row r="221" spans="1:8" x14ac:dyDescent="0.2">
      <c r="A221" s="25" t="s">
        <v>417</v>
      </c>
      <c r="B221" s="24" t="s">
        <v>1024</v>
      </c>
      <c r="C221" s="26">
        <v>4</v>
      </c>
      <c r="D221" s="25" t="s">
        <v>418</v>
      </c>
      <c r="E221" s="28">
        <v>657468</v>
      </c>
      <c r="F221" s="28">
        <v>19623736914</v>
      </c>
      <c r="G221" s="28">
        <v>0</v>
      </c>
      <c r="H221" s="28">
        <v>0</v>
      </c>
    </row>
    <row r="222" spans="1:8" s="33" customFormat="1" x14ac:dyDescent="0.2">
      <c r="A222" s="29" t="s">
        <v>419</v>
      </c>
      <c r="C222" s="30">
        <v>6</v>
      </c>
      <c r="D222" s="29" t="s">
        <v>412</v>
      </c>
      <c r="E222" s="32">
        <v>0</v>
      </c>
      <c r="F222" s="32">
        <v>19622567162</v>
      </c>
      <c r="G222" s="32">
        <v>0</v>
      </c>
      <c r="H222" s="32">
        <v>0</v>
      </c>
    </row>
    <row r="223" spans="1:8" s="33" customFormat="1" x14ac:dyDescent="0.2">
      <c r="A223" s="29" t="s">
        <v>420</v>
      </c>
      <c r="C223" s="30">
        <v>6</v>
      </c>
      <c r="D223" s="29" t="s">
        <v>414</v>
      </c>
      <c r="E223" s="32">
        <v>657468</v>
      </c>
      <c r="F223" s="32">
        <v>1169752</v>
      </c>
      <c r="G223" s="32">
        <v>0</v>
      </c>
      <c r="H223" s="32">
        <v>0</v>
      </c>
    </row>
    <row r="224" spans="1:8" x14ac:dyDescent="0.2">
      <c r="A224" s="25" t="s">
        <v>421</v>
      </c>
      <c r="B224" s="24" t="s">
        <v>1024</v>
      </c>
      <c r="C224" s="26">
        <v>4</v>
      </c>
      <c r="D224" s="25" t="s">
        <v>422</v>
      </c>
      <c r="E224" s="28">
        <v>32712523842</v>
      </c>
      <c r="F224" s="28">
        <v>25792120919</v>
      </c>
      <c r="G224" s="28">
        <v>0</v>
      </c>
      <c r="H224" s="28">
        <v>0</v>
      </c>
    </row>
    <row r="225" spans="1:9" s="33" customFormat="1" x14ac:dyDescent="0.2">
      <c r="A225" s="29" t="s">
        <v>423</v>
      </c>
      <c r="C225" s="30">
        <v>6</v>
      </c>
      <c r="D225" s="29" t="s">
        <v>424</v>
      </c>
      <c r="E225" s="32">
        <v>32712523842</v>
      </c>
      <c r="F225" s="32">
        <v>25792120919</v>
      </c>
      <c r="G225" s="32">
        <v>0</v>
      </c>
      <c r="H225" s="32">
        <v>0</v>
      </c>
    </row>
    <row r="226" spans="1:9" s="16" customFormat="1" ht="15" x14ac:dyDescent="0.25">
      <c r="A226" s="17" t="s">
        <v>425</v>
      </c>
      <c r="B226" s="106"/>
      <c r="C226" s="18">
        <v>1</v>
      </c>
      <c r="D226" s="17" t="s">
        <v>426</v>
      </c>
      <c r="E226" s="19">
        <v>77327334912</v>
      </c>
      <c r="F226" s="19">
        <v>101258600522</v>
      </c>
      <c r="G226" s="19">
        <v>1860656747125</v>
      </c>
      <c r="H226" s="19">
        <v>673266340128</v>
      </c>
      <c r="I226" s="2"/>
    </row>
    <row r="227" spans="1:9" ht="12.75" x14ac:dyDescent="0.2">
      <c r="A227" s="20" t="s">
        <v>427</v>
      </c>
      <c r="B227" s="22"/>
      <c r="C227" s="21">
        <v>2</v>
      </c>
      <c r="D227" s="22" t="s">
        <v>428</v>
      </c>
      <c r="E227" s="23">
        <v>55116842808</v>
      </c>
      <c r="F227" s="23">
        <v>58019159065</v>
      </c>
      <c r="G227" s="23">
        <v>52360396508</v>
      </c>
      <c r="H227" s="23">
        <v>23981672923</v>
      </c>
    </row>
    <row r="228" spans="1:9" x14ac:dyDescent="0.2">
      <c r="A228" s="25" t="s">
        <v>429</v>
      </c>
      <c r="B228" s="24" t="s">
        <v>1025</v>
      </c>
      <c r="C228" s="26">
        <v>4</v>
      </c>
      <c r="D228" s="25" t="s">
        <v>430</v>
      </c>
      <c r="E228" s="28">
        <v>7361645490</v>
      </c>
      <c r="F228" s="28">
        <v>25101330174</v>
      </c>
      <c r="G228" s="28">
        <v>15031965102</v>
      </c>
      <c r="H228" s="28">
        <v>8754900641</v>
      </c>
    </row>
    <row r="229" spans="1:9" s="33" customFormat="1" x14ac:dyDescent="0.2">
      <c r="A229" s="29" t="s">
        <v>431</v>
      </c>
      <c r="C229" s="30">
        <v>6</v>
      </c>
      <c r="D229" s="29" t="s">
        <v>432</v>
      </c>
      <c r="E229" s="32">
        <v>2092536516</v>
      </c>
      <c r="F229" s="32">
        <v>8863260070</v>
      </c>
      <c r="G229" s="32">
        <v>13274933685</v>
      </c>
      <c r="H229" s="32">
        <v>7847568971</v>
      </c>
    </row>
    <row r="230" spans="1:9" s="33" customFormat="1" x14ac:dyDescent="0.2">
      <c r="A230" s="29" t="s">
        <v>433</v>
      </c>
      <c r="C230" s="30">
        <v>6</v>
      </c>
      <c r="D230" s="29" t="s">
        <v>434</v>
      </c>
      <c r="E230" s="32">
        <v>2760198</v>
      </c>
      <c r="F230" s="32">
        <v>7875409</v>
      </c>
      <c r="G230" s="32">
        <v>0</v>
      </c>
      <c r="H230" s="32">
        <v>0</v>
      </c>
    </row>
    <row r="231" spans="1:9" s="33" customFormat="1" x14ac:dyDescent="0.2">
      <c r="A231" s="29" t="s">
        <v>435</v>
      </c>
      <c r="C231" s="30">
        <v>6</v>
      </c>
      <c r="D231" s="29" t="s">
        <v>436</v>
      </c>
      <c r="E231" s="32">
        <v>828946</v>
      </c>
      <c r="F231" s="32">
        <v>0</v>
      </c>
      <c r="G231" s="32">
        <v>0</v>
      </c>
      <c r="H231" s="32">
        <v>0</v>
      </c>
    </row>
    <row r="232" spans="1:9" s="33" customFormat="1" x14ac:dyDescent="0.2">
      <c r="A232" s="29" t="s">
        <v>437</v>
      </c>
      <c r="C232" s="30">
        <v>6</v>
      </c>
      <c r="D232" s="29" t="s">
        <v>438</v>
      </c>
      <c r="E232" s="32">
        <v>999805317</v>
      </c>
      <c r="F232" s="32">
        <v>3378348004</v>
      </c>
      <c r="G232" s="32">
        <v>0</v>
      </c>
      <c r="H232" s="32">
        <v>0</v>
      </c>
    </row>
    <row r="233" spans="1:9" s="33" customFormat="1" x14ac:dyDescent="0.2">
      <c r="A233" s="29" t="s">
        <v>439</v>
      </c>
      <c r="C233" s="30">
        <v>6</v>
      </c>
      <c r="D233" s="29" t="s">
        <v>223</v>
      </c>
      <c r="E233" s="32">
        <v>2594082660</v>
      </c>
      <c r="F233" s="32">
        <v>8727170957</v>
      </c>
      <c r="G233" s="32">
        <v>0</v>
      </c>
      <c r="H233" s="32">
        <v>0</v>
      </c>
    </row>
    <row r="234" spans="1:9" s="33" customFormat="1" x14ac:dyDescent="0.2">
      <c r="A234" s="29" t="s">
        <v>440</v>
      </c>
      <c r="C234" s="30">
        <v>6</v>
      </c>
      <c r="D234" s="29" t="s">
        <v>296</v>
      </c>
      <c r="E234" s="32">
        <v>146522267</v>
      </c>
      <c r="F234" s="32">
        <v>524468517</v>
      </c>
      <c r="G234" s="32">
        <v>0</v>
      </c>
      <c r="H234" s="32">
        <v>0</v>
      </c>
    </row>
    <row r="235" spans="1:9" s="33" customFormat="1" x14ac:dyDescent="0.2">
      <c r="A235" s="29" t="s">
        <v>441</v>
      </c>
      <c r="C235" s="30">
        <v>6</v>
      </c>
      <c r="D235" s="29" t="s">
        <v>442</v>
      </c>
      <c r="E235" s="32">
        <v>44967218</v>
      </c>
      <c r="F235" s="32">
        <v>408031190</v>
      </c>
      <c r="G235" s="32">
        <v>458858194</v>
      </c>
      <c r="H235" s="32">
        <v>214722970</v>
      </c>
    </row>
    <row r="236" spans="1:9" s="33" customFormat="1" x14ac:dyDescent="0.2">
      <c r="A236" s="29" t="s">
        <v>443</v>
      </c>
      <c r="C236" s="30">
        <v>6</v>
      </c>
      <c r="D236" s="29" t="s">
        <v>292</v>
      </c>
      <c r="E236" s="32">
        <v>178762487</v>
      </c>
      <c r="F236" s="32">
        <v>797232023</v>
      </c>
      <c r="G236" s="32">
        <v>0</v>
      </c>
      <c r="H236" s="32">
        <v>0</v>
      </c>
    </row>
    <row r="237" spans="1:9" s="33" customFormat="1" x14ac:dyDescent="0.2">
      <c r="A237" s="29" t="s">
        <v>444</v>
      </c>
      <c r="C237" s="30">
        <v>6</v>
      </c>
      <c r="D237" s="29" t="s">
        <v>445</v>
      </c>
      <c r="E237" s="32">
        <v>14130099</v>
      </c>
      <c r="F237" s="32">
        <v>88396377</v>
      </c>
      <c r="G237" s="32">
        <v>0</v>
      </c>
      <c r="H237" s="32">
        <v>0</v>
      </c>
    </row>
    <row r="238" spans="1:9" s="33" customFormat="1" x14ac:dyDescent="0.2">
      <c r="A238" s="29" t="s">
        <v>446</v>
      </c>
      <c r="C238" s="30">
        <v>6</v>
      </c>
      <c r="D238" s="29" t="s">
        <v>310</v>
      </c>
      <c r="E238" s="32">
        <v>29024698</v>
      </c>
      <c r="F238" s="32">
        <v>116893693</v>
      </c>
      <c r="G238" s="32">
        <v>0</v>
      </c>
      <c r="H238" s="32">
        <v>0</v>
      </c>
    </row>
    <row r="239" spans="1:9" s="33" customFormat="1" x14ac:dyDescent="0.2">
      <c r="A239" s="29" t="s">
        <v>447</v>
      </c>
      <c r="C239" s="30">
        <v>6</v>
      </c>
      <c r="D239" s="34" t="s">
        <v>448</v>
      </c>
      <c r="E239" s="38">
        <v>4809250</v>
      </c>
      <c r="F239" s="32">
        <v>249036857</v>
      </c>
      <c r="G239" s="32">
        <v>0</v>
      </c>
      <c r="H239" s="32">
        <v>0</v>
      </c>
    </row>
    <row r="240" spans="1:9" s="33" customFormat="1" x14ac:dyDescent="0.2">
      <c r="A240" s="29" t="s">
        <v>449</v>
      </c>
      <c r="C240" s="30">
        <v>6</v>
      </c>
      <c r="D240" s="29" t="s">
        <v>450</v>
      </c>
      <c r="E240" s="32">
        <v>953834654</v>
      </c>
      <c r="F240" s="32">
        <v>1002297475</v>
      </c>
      <c r="G240" s="32">
        <v>1298173223</v>
      </c>
      <c r="H240" s="32">
        <v>692608700</v>
      </c>
    </row>
    <row r="241" spans="1:8" s="33" customFormat="1" x14ac:dyDescent="0.2">
      <c r="A241" s="29" t="s">
        <v>451</v>
      </c>
      <c r="C241" s="30">
        <v>6</v>
      </c>
      <c r="D241" s="29" t="s">
        <v>452</v>
      </c>
      <c r="E241" s="32">
        <v>36210610</v>
      </c>
      <c r="F241" s="32">
        <v>43305320</v>
      </c>
      <c r="G241" s="32">
        <v>0</v>
      </c>
      <c r="H241" s="32">
        <v>0</v>
      </c>
    </row>
    <row r="242" spans="1:8" s="33" customFormat="1" x14ac:dyDescent="0.2">
      <c r="A242" s="29" t="s">
        <v>453</v>
      </c>
      <c r="C242" s="30">
        <v>6</v>
      </c>
      <c r="D242" s="29" t="s">
        <v>454</v>
      </c>
      <c r="E242" s="32">
        <v>84603634</v>
      </c>
      <c r="F242" s="32">
        <v>101243592</v>
      </c>
      <c r="G242" s="32">
        <v>0</v>
      </c>
      <c r="H242" s="32">
        <v>0</v>
      </c>
    </row>
    <row r="243" spans="1:8" s="33" customFormat="1" x14ac:dyDescent="0.2">
      <c r="A243" s="29" t="s">
        <v>455</v>
      </c>
      <c r="C243" s="30">
        <v>6</v>
      </c>
      <c r="D243" s="29" t="s">
        <v>306</v>
      </c>
      <c r="E243" s="32">
        <v>178766936</v>
      </c>
      <c r="F243" s="32">
        <v>793770690</v>
      </c>
      <c r="G243" s="32">
        <v>0</v>
      </c>
      <c r="H243" s="32">
        <v>0</v>
      </c>
    </row>
    <row r="244" spans="1:8" x14ac:dyDescent="0.2">
      <c r="A244" s="25" t="s">
        <v>456</v>
      </c>
      <c r="B244" s="24" t="s">
        <v>1025</v>
      </c>
      <c r="C244" s="26">
        <v>4</v>
      </c>
      <c r="D244" s="25" t="s">
        <v>457</v>
      </c>
      <c r="E244" s="28">
        <v>17224863</v>
      </c>
      <c r="F244" s="28">
        <v>113789933</v>
      </c>
      <c r="G244" s="28">
        <v>300526352</v>
      </c>
      <c r="H244" s="28">
        <v>108309024</v>
      </c>
    </row>
    <row r="245" spans="1:8" s="33" customFormat="1" x14ac:dyDescent="0.2">
      <c r="A245" s="29" t="s">
        <v>458</v>
      </c>
      <c r="C245" s="30">
        <v>6</v>
      </c>
      <c r="D245" s="29" t="s">
        <v>389</v>
      </c>
      <c r="E245" s="32">
        <v>17224863</v>
      </c>
      <c r="F245" s="32">
        <v>90255404</v>
      </c>
      <c r="G245" s="32">
        <v>177748252</v>
      </c>
      <c r="H245" s="32">
        <v>75108435</v>
      </c>
    </row>
    <row r="246" spans="1:8" s="33" customFormat="1" x14ac:dyDescent="0.2">
      <c r="A246" s="29" t="s">
        <v>459</v>
      </c>
      <c r="C246" s="30">
        <v>6</v>
      </c>
      <c r="D246" s="29" t="s">
        <v>460</v>
      </c>
      <c r="E246" s="32">
        <v>0</v>
      </c>
      <c r="F246" s="32">
        <v>23534529</v>
      </c>
      <c r="G246" s="32">
        <v>122778100</v>
      </c>
      <c r="H246" s="32">
        <v>33200589</v>
      </c>
    </row>
    <row r="247" spans="1:8" x14ac:dyDescent="0.2">
      <c r="A247" s="25" t="s">
        <v>461</v>
      </c>
      <c r="B247" s="24" t="s">
        <v>1025</v>
      </c>
      <c r="C247" s="26">
        <v>4</v>
      </c>
      <c r="D247" s="25" t="s">
        <v>462</v>
      </c>
      <c r="E247" s="28">
        <v>700237364</v>
      </c>
      <c r="F247" s="28">
        <v>2595905486</v>
      </c>
      <c r="G247" s="28">
        <v>3895433800</v>
      </c>
      <c r="H247" s="28">
        <v>2288370830</v>
      </c>
    </row>
    <row r="248" spans="1:8" s="33" customFormat="1" x14ac:dyDescent="0.2">
      <c r="A248" s="29" t="s">
        <v>463</v>
      </c>
      <c r="C248" s="30">
        <v>6</v>
      </c>
      <c r="D248" s="29" t="s">
        <v>316</v>
      </c>
      <c r="E248" s="32">
        <v>111022580</v>
      </c>
      <c r="F248" s="32">
        <v>391898968</v>
      </c>
      <c r="G248" s="32">
        <v>602294390</v>
      </c>
      <c r="H248" s="32">
        <v>352312400</v>
      </c>
    </row>
    <row r="249" spans="1:8" s="33" customFormat="1" x14ac:dyDescent="0.2">
      <c r="A249" s="29" t="s">
        <v>464</v>
      </c>
      <c r="C249" s="30">
        <v>6</v>
      </c>
      <c r="D249" s="29" t="s">
        <v>465</v>
      </c>
      <c r="E249" s="32">
        <v>238692333</v>
      </c>
      <c r="F249" s="32">
        <v>860054891</v>
      </c>
      <c r="G249" s="32">
        <v>1298477957</v>
      </c>
      <c r="H249" s="32">
        <v>763647128</v>
      </c>
    </row>
    <row r="250" spans="1:8" s="33" customFormat="1" x14ac:dyDescent="0.2">
      <c r="A250" s="29" t="s">
        <v>466</v>
      </c>
      <c r="C250" s="30">
        <v>6</v>
      </c>
      <c r="D250" s="29" t="s">
        <v>467</v>
      </c>
      <c r="E250" s="32">
        <v>14368878</v>
      </c>
      <c r="F250" s="32">
        <v>155259753</v>
      </c>
      <c r="G250" s="32">
        <v>204626718</v>
      </c>
      <c r="H250" s="32">
        <v>115437300</v>
      </c>
    </row>
    <row r="251" spans="1:8" s="33" customFormat="1" x14ac:dyDescent="0.2">
      <c r="A251" s="29" t="s">
        <v>468</v>
      </c>
      <c r="C251" s="30">
        <v>6</v>
      </c>
      <c r="D251" s="29" t="s">
        <v>469</v>
      </c>
      <c r="E251" s="32">
        <v>111821324</v>
      </c>
      <c r="F251" s="32">
        <v>275168501</v>
      </c>
      <c r="G251" s="32">
        <v>372461693</v>
      </c>
      <c r="H251" s="32">
        <v>287698640</v>
      </c>
    </row>
    <row r="252" spans="1:8" s="33" customFormat="1" x14ac:dyDescent="0.2">
      <c r="A252" s="29" t="s">
        <v>470</v>
      </c>
      <c r="C252" s="30">
        <v>6</v>
      </c>
      <c r="D252" s="29" t="s">
        <v>471</v>
      </c>
      <c r="E252" s="32">
        <v>224332249</v>
      </c>
      <c r="F252" s="32">
        <v>913523373</v>
      </c>
      <c r="G252" s="32">
        <v>1417573042</v>
      </c>
      <c r="H252" s="32">
        <v>769275362</v>
      </c>
    </row>
    <row r="253" spans="1:8" x14ac:dyDescent="0.2">
      <c r="A253" s="25" t="s">
        <v>472</v>
      </c>
      <c r="B253" s="24" t="s">
        <v>1025</v>
      </c>
      <c r="C253" s="26">
        <v>4</v>
      </c>
      <c r="D253" s="25" t="s">
        <v>473</v>
      </c>
      <c r="E253" s="28">
        <v>138768750</v>
      </c>
      <c r="F253" s="28">
        <v>491187874</v>
      </c>
      <c r="G253" s="28">
        <v>752191533</v>
      </c>
      <c r="H253" s="28">
        <v>440614900</v>
      </c>
    </row>
    <row r="254" spans="1:8" s="33" customFormat="1" x14ac:dyDescent="0.2">
      <c r="A254" s="29" t="s">
        <v>474</v>
      </c>
      <c r="C254" s="30">
        <v>6</v>
      </c>
      <c r="D254" s="29" t="s">
        <v>475</v>
      </c>
      <c r="E254" s="32">
        <v>83269710</v>
      </c>
      <c r="F254" s="32">
        <v>294754481</v>
      </c>
      <c r="G254" s="32">
        <v>451253122</v>
      </c>
      <c r="H254" s="32">
        <v>264308000</v>
      </c>
    </row>
    <row r="255" spans="1:8" s="33" customFormat="1" x14ac:dyDescent="0.2">
      <c r="A255" s="29" t="s">
        <v>476</v>
      </c>
      <c r="C255" s="30">
        <v>6</v>
      </c>
      <c r="D255" s="29" t="s">
        <v>477</v>
      </c>
      <c r="E255" s="32">
        <v>55499040</v>
      </c>
      <c r="F255" s="32">
        <v>196433393</v>
      </c>
      <c r="G255" s="32">
        <v>300938411</v>
      </c>
      <c r="H255" s="32">
        <v>176306900</v>
      </c>
    </row>
    <row r="256" spans="1:8" x14ac:dyDescent="0.2">
      <c r="A256" s="25" t="s">
        <v>478</v>
      </c>
      <c r="B256" s="24" t="s">
        <v>1025</v>
      </c>
      <c r="C256" s="26">
        <v>4</v>
      </c>
      <c r="D256" s="25" t="s">
        <v>479</v>
      </c>
      <c r="E256" s="28">
        <v>0</v>
      </c>
      <c r="F256" s="28">
        <v>0</v>
      </c>
      <c r="G256" s="28">
        <v>3268496544</v>
      </c>
      <c r="H256" s="28">
        <v>1921205125</v>
      </c>
    </row>
    <row r="257" spans="1:8" s="33" customFormat="1" x14ac:dyDescent="0.2">
      <c r="A257" s="29" t="s">
        <v>480</v>
      </c>
      <c r="C257" s="30">
        <v>6</v>
      </c>
      <c r="D257" s="29" t="s">
        <v>296</v>
      </c>
      <c r="E257" s="32">
        <v>0</v>
      </c>
      <c r="F257" s="32">
        <v>0</v>
      </c>
      <c r="G257" s="32">
        <v>731950508</v>
      </c>
      <c r="H257" s="32">
        <v>449525716</v>
      </c>
    </row>
    <row r="258" spans="1:8" s="33" customFormat="1" x14ac:dyDescent="0.2">
      <c r="A258" s="29" t="s">
        <v>481</v>
      </c>
      <c r="C258" s="30">
        <v>6</v>
      </c>
      <c r="D258" s="29" t="s">
        <v>292</v>
      </c>
      <c r="E258" s="32">
        <v>0</v>
      </c>
      <c r="F258" s="32">
        <v>0</v>
      </c>
      <c r="G258" s="32">
        <v>1212343231</v>
      </c>
      <c r="H258" s="32">
        <v>697889731</v>
      </c>
    </row>
    <row r="259" spans="1:8" s="33" customFormat="1" x14ac:dyDescent="0.2">
      <c r="A259" s="29" t="s">
        <v>482</v>
      </c>
      <c r="C259" s="30">
        <v>6</v>
      </c>
      <c r="D259" s="29" t="s">
        <v>445</v>
      </c>
      <c r="E259" s="32">
        <v>0</v>
      </c>
      <c r="F259" s="32">
        <v>0</v>
      </c>
      <c r="G259" s="32">
        <v>121326644</v>
      </c>
      <c r="H259" s="32">
        <v>80995602</v>
      </c>
    </row>
    <row r="260" spans="1:8" s="33" customFormat="1" x14ac:dyDescent="0.2">
      <c r="A260" s="29" t="s">
        <v>483</v>
      </c>
      <c r="C260" s="30">
        <v>6</v>
      </c>
      <c r="D260" s="29" t="s">
        <v>306</v>
      </c>
      <c r="E260" s="32">
        <v>0</v>
      </c>
      <c r="F260" s="32">
        <v>0</v>
      </c>
      <c r="G260" s="32">
        <v>1202876161</v>
      </c>
      <c r="H260" s="32">
        <v>692794076</v>
      </c>
    </row>
    <row r="261" spans="1:8" x14ac:dyDescent="0.2">
      <c r="A261" s="25" t="s">
        <v>484</v>
      </c>
      <c r="B261" s="24" t="s">
        <v>1025</v>
      </c>
      <c r="C261" s="26">
        <v>4</v>
      </c>
      <c r="D261" s="25" t="s">
        <v>485</v>
      </c>
      <c r="E261" s="28">
        <v>0</v>
      </c>
      <c r="F261" s="28">
        <v>0</v>
      </c>
      <c r="G261" s="28">
        <v>11468827934</v>
      </c>
      <c r="H261" s="28">
        <v>3631139289</v>
      </c>
    </row>
    <row r="262" spans="1:8" s="33" customFormat="1" x14ac:dyDescent="0.2">
      <c r="A262" s="29" t="s">
        <v>486</v>
      </c>
      <c r="C262" s="30">
        <v>6</v>
      </c>
      <c r="D262" s="29" t="s">
        <v>487</v>
      </c>
      <c r="E262" s="32">
        <v>0</v>
      </c>
      <c r="F262" s="32">
        <v>0</v>
      </c>
      <c r="G262" s="32">
        <v>4625665507</v>
      </c>
      <c r="H262" s="32">
        <v>95931194</v>
      </c>
    </row>
    <row r="263" spans="1:8" s="33" customFormat="1" x14ac:dyDescent="0.2">
      <c r="A263" s="29" t="s">
        <v>488</v>
      </c>
      <c r="C263" s="30">
        <v>6</v>
      </c>
      <c r="D263" s="29" t="s">
        <v>223</v>
      </c>
      <c r="E263" s="32">
        <v>0</v>
      </c>
      <c r="F263" s="32">
        <v>0</v>
      </c>
      <c r="G263" s="32">
        <v>6477175287</v>
      </c>
      <c r="H263" s="32">
        <v>369605469</v>
      </c>
    </row>
    <row r="264" spans="1:8" s="33" customFormat="1" x14ac:dyDescent="0.2">
      <c r="A264" s="29" t="s">
        <v>489</v>
      </c>
      <c r="C264" s="30">
        <v>6</v>
      </c>
      <c r="D264" s="29" t="s">
        <v>310</v>
      </c>
      <c r="E264" s="32">
        <v>0</v>
      </c>
      <c r="F264" s="32">
        <v>0</v>
      </c>
      <c r="G264" s="32">
        <v>39283051</v>
      </c>
      <c r="H264" s="32">
        <v>49481977</v>
      </c>
    </row>
    <row r="265" spans="1:8" s="33" customFormat="1" x14ac:dyDescent="0.2">
      <c r="A265" s="29" t="s">
        <v>490</v>
      </c>
      <c r="C265" s="30">
        <v>6</v>
      </c>
      <c r="D265" s="29" t="s">
        <v>491</v>
      </c>
      <c r="E265" s="32">
        <v>0</v>
      </c>
      <c r="F265" s="32">
        <v>0</v>
      </c>
      <c r="G265" s="32">
        <v>106773259</v>
      </c>
      <c r="H265" s="32">
        <v>85459469</v>
      </c>
    </row>
    <row r="266" spans="1:8" s="33" customFormat="1" x14ac:dyDescent="0.2">
      <c r="A266" s="29" t="s">
        <v>492</v>
      </c>
      <c r="C266" s="30">
        <v>6</v>
      </c>
      <c r="D266" s="29" t="s">
        <v>454</v>
      </c>
      <c r="E266" s="32">
        <v>0</v>
      </c>
      <c r="F266" s="32">
        <v>0</v>
      </c>
      <c r="G266" s="32">
        <v>168534384</v>
      </c>
      <c r="H266" s="32">
        <v>89814299</v>
      </c>
    </row>
    <row r="267" spans="1:8" s="33" customFormat="1" x14ac:dyDescent="0.2">
      <c r="A267" s="29" t="s">
        <v>493</v>
      </c>
      <c r="C267" s="30">
        <v>6</v>
      </c>
      <c r="D267" s="29" t="s">
        <v>452</v>
      </c>
      <c r="E267" s="32">
        <v>0</v>
      </c>
      <c r="F267" s="32">
        <v>0</v>
      </c>
      <c r="G267" s="32">
        <v>51396446</v>
      </c>
      <c r="H267" s="32">
        <v>20532820</v>
      </c>
    </row>
    <row r="268" spans="1:8" x14ac:dyDescent="0.2">
      <c r="A268" s="25" t="s">
        <v>494</v>
      </c>
      <c r="C268" s="26">
        <v>4</v>
      </c>
      <c r="D268" s="25" t="s">
        <v>495</v>
      </c>
      <c r="E268" s="28">
        <v>46514535526</v>
      </c>
      <c r="F268" s="28">
        <v>29223854597</v>
      </c>
      <c r="G268" s="28">
        <v>17469963753</v>
      </c>
      <c r="H268" s="28">
        <v>6834674789</v>
      </c>
    </row>
    <row r="269" spans="1:8" s="33" customFormat="1" x14ac:dyDescent="0.2">
      <c r="A269" s="29" t="s">
        <v>496</v>
      </c>
      <c r="B269" s="33" t="s">
        <v>1026</v>
      </c>
      <c r="C269" s="30">
        <v>6</v>
      </c>
      <c r="D269" s="29" t="s">
        <v>497</v>
      </c>
      <c r="E269" s="32">
        <v>5035383009</v>
      </c>
      <c r="F269" s="32">
        <v>17389895401</v>
      </c>
      <c r="G269" s="32">
        <v>0</v>
      </c>
      <c r="H269" s="32">
        <v>0</v>
      </c>
    </row>
    <row r="270" spans="1:8" s="33" customFormat="1" x14ac:dyDescent="0.2">
      <c r="A270" s="29" t="s">
        <v>498</v>
      </c>
      <c r="B270" s="33" t="s">
        <v>1027</v>
      </c>
      <c r="C270" s="30">
        <v>6</v>
      </c>
      <c r="D270" s="29" t="s">
        <v>499</v>
      </c>
      <c r="E270" s="32">
        <v>0</v>
      </c>
      <c r="F270" s="32">
        <v>1037625120</v>
      </c>
      <c r="G270" s="32">
        <v>278206691</v>
      </c>
      <c r="H270" s="32">
        <v>54300138</v>
      </c>
    </row>
    <row r="271" spans="1:8" s="33" customFormat="1" x14ac:dyDescent="0.2">
      <c r="A271" s="29" t="s">
        <v>500</v>
      </c>
      <c r="B271" s="33" t="s">
        <v>1028</v>
      </c>
      <c r="C271" s="30">
        <v>6</v>
      </c>
      <c r="D271" s="29" t="s">
        <v>501</v>
      </c>
      <c r="E271" s="32">
        <v>10341215</v>
      </c>
      <c r="F271" s="32">
        <v>275746964</v>
      </c>
      <c r="G271" s="32">
        <v>244161980</v>
      </c>
      <c r="H271" s="32">
        <v>97593836</v>
      </c>
    </row>
    <row r="272" spans="1:8" s="33" customFormat="1" x14ac:dyDescent="0.2">
      <c r="A272" s="29" t="s">
        <v>502</v>
      </c>
      <c r="B272" s="33" t="s">
        <v>1031</v>
      </c>
      <c r="C272" s="30">
        <v>6</v>
      </c>
      <c r="D272" s="29" t="s">
        <v>503</v>
      </c>
      <c r="E272" s="32">
        <v>154972283</v>
      </c>
      <c r="F272" s="32">
        <v>559724922</v>
      </c>
      <c r="G272" s="32">
        <v>503087859</v>
      </c>
      <c r="H272" s="32">
        <v>168842450</v>
      </c>
    </row>
    <row r="273" spans="1:8" s="33" customFormat="1" x14ac:dyDescent="0.2">
      <c r="A273" s="29" t="s">
        <v>504</v>
      </c>
      <c r="B273" s="33" t="s">
        <v>1027</v>
      </c>
      <c r="C273" s="30">
        <v>6</v>
      </c>
      <c r="D273" s="29" t="s">
        <v>505</v>
      </c>
      <c r="E273" s="32">
        <v>98336380</v>
      </c>
      <c r="F273" s="32">
        <v>118149944</v>
      </c>
      <c r="G273" s="32">
        <v>60235593</v>
      </c>
      <c r="H273" s="32">
        <v>49121068</v>
      </c>
    </row>
    <row r="274" spans="1:8" s="33" customFormat="1" x14ac:dyDescent="0.2">
      <c r="A274" s="29" t="s">
        <v>506</v>
      </c>
      <c r="B274" s="33" t="s">
        <v>1033</v>
      </c>
      <c r="C274" s="30">
        <v>6</v>
      </c>
      <c r="D274" s="29" t="s">
        <v>207</v>
      </c>
      <c r="E274" s="32">
        <v>856613609</v>
      </c>
      <c r="F274" s="32">
        <v>2367548655</v>
      </c>
      <c r="G274" s="32">
        <v>2797673542</v>
      </c>
      <c r="H274" s="32">
        <v>1401302468</v>
      </c>
    </row>
    <row r="275" spans="1:8" s="33" customFormat="1" x14ac:dyDescent="0.2">
      <c r="A275" s="29" t="s">
        <v>507</v>
      </c>
      <c r="B275" s="33" t="s">
        <v>1029</v>
      </c>
      <c r="C275" s="30">
        <v>6</v>
      </c>
      <c r="D275" s="29" t="s">
        <v>508</v>
      </c>
      <c r="E275" s="32">
        <v>1533788346</v>
      </c>
      <c r="F275" s="32">
        <v>6055376476</v>
      </c>
      <c r="G275" s="32">
        <v>5502047988</v>
      </c>
      <c r="H275" s="32">
        <v>2520728500</v>
      </c>
    </row>
    <row r="276" spans="1:8" s="33" customFormat="1" x14ac:dyDescent="0.2">
      <c r="A276" s="29" t="s">
        <v>509</v>
      </c>
      <c r="B276" s="33" t="s">
        <v>1034</v>
      </c>
      <c r="C276" s="30">
        <v>6</v>
      </c>
      <c r="D276" s="29" t="s">
        <v>211</v>
      </c>
      <c r="E276" s="32">
        <v>0</v>
      </c>
      <c r="F276" s="32">
        <v>680600</v>
      </c>
      <c r="G276" s="32">
        <v>206800</v>
      </c>
      <c r="H276" s="32">
        <v>800000</v>
      </c>
    </row>
    <row r="277" spans="1:8" s="33" customFormat="1" x14ac:dyDescent="0.2">
      <c r="A277" s="29" t="s">
        <v>510</v>
      </c>
      <c r="B277" s="33" t="s">
        <v>1030</v>
      </c>
      <c r="C277" s="30">
        <v>6</v>
      </c>
      <c r="D277" s="29" t="s">
        <v>511</v>
      </c>
      <c r="E277" s="32">
        <v>701804226</v>
      </c>
      <c r="F277" s="32">
        <v>60570863</v>
      </c>
      <c r="G277" s="32">
        <v>344092146</v>
      </c>
      <c r="H277" s="32">
        <v>139958994</v>
      </c>
    </row>
    <row r="278" spans="1:8" s="33" customFormat="1" x14ac:dyDescent="0.2">
      <c r="A278" s="29" t="s">
        <v>512</v>
      </c>
      <c r="B278" s="33" t="s">
        <v>1031</v>
      </c>
      <c r="C278" s="30">
        <v>6</v>
      </c>
      <c r="D278" s="29" t="s">
        <v>513</v>
      </c>
      <c r="E278" s="32">
        <v>144584286</v>
      </c>
      <c r="F278" s="32">
        <v>85521465</v>
      </c>
      <c r="G278" s="32">
        <v>148793101</v>
      </c>
      <c r="H278" s="32">
        <v>104952060</v>
      </c>
    </row>
    <row r="279" spans="1:8" s="33" customFormat="1" x14ac:dyDescent="0.2">
      <c r="A279" s="29" t="s">
        <v>514</v>
      </c>
      <c r="B279" s="33" t="s">
        <v>1031</v>
      </c>
      <c r="C279" s="30">
        <v>6</v>
      </c>
      <c r="D279" s="29" t="s">
        <v>515</v>
      </c>
      <c r="E279" s="32">
        <v>533300</v>
      </c>
      <c r="F279" s="32">
        <v>701450</v>
      </c>
      <c r="G279" s="32">
        <v>2970931</v>
      </c>
      <c r="H279" s="32">
        <v>85900</v>
      </c>
    </row>
    <row r="280" spans="1:8" s="33" customFormat="1" x14ac:dyDescent="0.2">
      <c r="A280" s="29" t="s">
        <v>516</v>
      </c>
      <c r="B280" s="33" t="s">
        <v>1032</v>
      </c>
      <c r="C280" s="30">
        <v>6</v>
      </c>
      <c r="D280" s="29" t="s">
        <v>517</v>
      </c>
      <c r="E280" s="32">
        <v>49118822</v>
      </c>
      <c r="F280" s="32">
        <v>32658742</v>
      </c>
      <c r="G280" s="32">
        <v>215077</v>
      </c>
      <c r="H280" s="32">
        <v>65390239</v>
      </c>
    </row>
    <row r="281" spans="1:8" s="33" customFormat="1" x14ac:dyDescent="0.2">
      <c r="A281" s="29" t="s">
        <v>518</v>
      </c>
      <c r="B281" s="33" t="s">
        <v>1030</v>
      </c>
      <c r="C281" s="30">
        <v>6</v>
      </c>
      <c r="D281" s="29" t="s">
        <v>519</v>
      </c>
      <c r="E281" s="32">
        <v>226342729</v>
      </c>
      <c r="F281" s="32">
        <v>28253903</v>
      </c>
      <c r="G281" s="32">
        <v>10102368</v>
      </c>
      <c r="H281" s="32">
        <v>8439480</v>
      </c>
    </row>
    <row r="282" spans="1:8" s="33" customFormat="1" x14ac:dyDescent="0.2">
      <c r="A282" s="29" t="s">
        <v>520</v>
      </c>
      <c r="B282" s="33" t="s">
        <v>1028</v>
      </c>
      <c r="C282" s="30">
        <v>6</v>
      </c>
      <c r="D282" s="29" t="s">
        <v>521</v>
      </c>
      <c r="E282" s="32">
        <v>37688896</v>
      </c>
      <c r="F282" s="32">
        <v>35146830</v>
      </c>
      <c r="G282" s="32">
        <v>28735332</v>
      </c>
      <c r="H282" s="32">
        <v>25262600</v>
      </c>
    </row>
    <row r="283" spans="1:8" s="33" customFormat="1" x14ac:dyDescent="0.2">
      <c r="A283" s="29" t="s">
        <v>522</v>
      </c>
      <c r="B283" s="24" t="s">
        <v>1025</v>
      </c>
      <c r="C283" s="30">
        <v>6</v>
      </c>
      <c r="D283" s="29" t="s">
        <v>523</v>
      </c>
      <c r="E283" s="32">
        <v>37512303324</v>
      </c>
      <c r="F283" s="32">
        <v>665796437</v>
      </c>
      <c r="G283" s="32">
        <v>952605826</v>
      </c>
      <c r="H283" s="32">
        <v>563101995</v>
      </c>
    </row>
    <row r="284" spans="1:8" s="33" customFormat="1" x14ac:dyDescent="0.2">
      <c r="A284" s="29" t="s">
        <v>524</v>
      </c>
      <c r="B284" s="33" t="s">
        <v>1028</v>
      </c>
      <c r="C284" s="30">
        <v>6</v>
      </c>
      <c r="D284" s="29" t="s">
        <v>525</v>
      </c>
      <c r="E284" s="32">
        <v>31464399</v>
      </c>
      <c r="F284" s="32">
        <v>182032525</v>
      </c>
      <c r="G284" s="32">
        <v>238379554</v>
      </c>
      <c r="H284" s="32">
        <v>109867339</v>
      </c>
    </row>
    <row r="285" spans="1:8" s="33" customFormat="1" x14ac:dyDescent="0.2">
      <c r="A285" s="29" t="s">
        <v>526</v>
      </c>
      <c r="B285" s="33" t="s">
        <v>1028</v>
      </c>
      <c r="C285" s="30">
        <v>6</v>
      </c>
      <c r="D285" s="29" t="s">
        <v>527</v>
      </c>
      <c r="E285" s="32">
        <v>112559344</v>
      </c>
      <c r="F285" s="32">
        <v>164755859</v>
      </c>
      <c r="G285" s="32">
        <v>188916594</v>
      </c>
      <c r="H285" s="32">
        <v>77306383</v>
      </c>
    </row>
    <row r="286" spans="1:8" s="33" customFormat="1" x14ac:dyDescent="0.2">
      <c r="A286" s="29" t="s">
        <v>528</v>
      </c>
      <c r="B286" s="24" t="s">
        <v>1025</v>
      </c>
      <c r="C286" s="30">
        <v>6</v>
      </c>
      <c r="D286" s="29" t="s">
        <v>529</v>
      </c>
      <c r="E286" s="32">
        <v>6185760</v>
      </c>
      <c r="F286" s="32">
        <v>155066161</v>
      </c>
      <c r="G286" s="32">
        <v>234392637</v>
      </c>
      <c r="H286" s="32">
        <v>118761718</v>
      </c>
    </row>
    <row r="287" spans="1:8" s="33" customFormat="1" x14ac:dyDescent="0.2">
      <c r="A287" s="29" t="s">
        <v>530</v>
      </c>
      <c r="B287" s="33" t="s">
        <v>1034</v>
      </c>
      <c r="C287" s="30">
        <v>6</v>
      </c>
      <c r="D287" s="29" t="s">
        <v>531</v>
      </c>
      <c r="E287" s="32">
        <v>2515598</v>
      </c>
      <c r="F287" s="32">
        <v>4702280</v>
      </c>
      <c r="G287" s="32">
        <v>4771209</v>
      </c>
      <c r="H287" s="32">
        <v>2332550</v>
      </c>
    </row>
    <row r="288" spans="1:8" s="33" customFormat="1" x14ac:dyDescent="0.2">
      <c r="A288" s="29" t="s">
        <v>532</v>
      </c>
      <c r="B288" s="33" t="s">
        <v>1034</v>
      </c>
      <c r="C288" s="30">
        <v>6</v>
      </c>
      <c r="D288" s="29" t="s">
        <v>533</v>
      </c>
      <c r="E288" s="32">
        <v>0</v>
      </c>
      <c r="F288" s="32">
        <v>3900000</v>
      </c>
      <c r="G288" s="32">
        <v>0</v>
      </c>
      <c r="H288" s="32">
        <v>0</v>
      </c>
    </row>
    <row r="289" spans="1:8" s="33" customFormat="1" x14ac:dyDescent="0.2">
      <c r="A289" s="29" t="s">
        <v>534</v>
      </c>
      <c r="B289" s="33" t="s">
        <v>1026</v>
      </c>
      <c r="C289" s="30">
        <v>6</v>
      </c>
      <c r="D289" s="34" t="s">
        <v>232</v>
      </c>
      <c r="E289" s="32">
        <v>0</v>
      </c>
      <c r="F289" s="32">
        <v>0</v>
      </c>
      <c r="G289" s="32">
        <v>15801897</v>
      </c>
      <c r="H289" s="32">
        <v>0</v>
      </c>
    </row>
    <row r="290" spans="1:8" s="33" customFormat="1" x14ac:dyDescent="0.2">
      <c r="A290" s="29" t="s">
        <v>535</v>
      </c>
      <c r="B290" s="33" t="s">
        <v>1026</v>
      </c>
      <c r="C290" s="30">
        <v>6</v>
      </c>
      <c r="D290" s="34" t="s">
        <v>223</v>
      </c>
      <c r="E290" s="32">
        <v>0</v>
      </c>
      <c r="F290" s="32">
        <v>0</v>
      </c>
      <c r="G290" s="32">
        <v>2373289628</v>
      </c>
      <c r="H290" s="32">
        <v>300200635</v>
      </c>
    </row>
    <row r="291" spans="1:8" s="33" customFormat="1" x14ac:dyDescent="0.2">
      <c r="A291" s="29" t="s">
        <v>536</v>
      </c>
      <c r="B291" s="33" t="s">
        <v>1026</v>
      </c>
      <c r="C291" s="30">
        <v>6</v>
      </c>
      <c r="D291" s="34" t="s">
        <v>225</v>
      </c>
      <c r="E291" s="32">
        <v>0</v>
      </c>
      <c r="F291" s="32">
        <v>0</v>
      </c>
      <c r="G291" s="32">
        <v>3541277000</v>
      </c>
      <c r="H291" s="32">
        <v>1026326436</v>
      </c>
    </row>
    <row r="292" spans="1:8" x14ac:dyDescent="0.2">
      <c r="A292" s="25" t="s">
        <v>537</v>
      </c>
      <c r="C292" s="26">
        <v>4</v>
      </c>
      <c r="D292" s="25" t="s">
        <v>538</v>
      </c>
      <c r="E292" s="28">
        <v>384430815</v>
      </c>
      <c r="F292" s="28">
        <v>493091001</v>
      </c>
      <c r="G292" s="28">
        <v>172991490</v>
      </c>
      <c r="H292" s="28">
        <v>2458325</v>
      </c>
    </row>
    <row r="293" spans="1:8" s="33" customFormat="1" x14ac:dyDescent="0.2">
      <c r="A293" s="29" t="s">
        <v>539</v>
      </c>
      <c r="B293" s="33" t="s">
        <v>1036</v>
      </c>
      <c r="C293" s="30">
        <v>6</v>
      </c>
      <c r="D293" s="34" t="s">
        <v>540</v>
      </c>
      <c r="E293" s="32">
        <v>0</v>
      </c>
      <c r="F293" s="32">
        <v>167531000</v>
      </c>
      <c r="G293" s="32">
        <v>0</v>
      </c>
      <c r="H293" s="32">
        <v>0</v>
      </c>
    </row>
    <row r="294" spans="1:8" s="33" customFormat="1" x14ac:dyDescent="0.2">
      <c r="A294" s="29" t="s">
        <v>541</v>
      </c>
      <c r="B294" s="33" t="s">
        <v>1035</v>
      </c>
      <c r="C294" s="30">
        <v>6</v>
      </c>
      <c r="D294" s="29" t="s">
        <v>542</v>
      </c>
      <c r="E294" s="32">
        <v>383037235</v>
      </c>
      <c r="F294" s="32">
        <v>260890987</v>
      </c>
      <c r="G294" s="32">
        <v>168163867</v>
      </c>
      <c r="H294" s="32">
        <v>0</v>
      </c>
    </row>
    <row r="295" spans="1:8" s="33" customFormat="1" x14ac:dyDescent="0.2">
      <c r="A295" s="29" t="s">
        <v>543</v>
      </c>
      <c r="B295" s="33" t="s">
        <v>1034</v>
      </c>
      <c r="C295" s="30">
        <v>6</v>
      </c>
      <c r="D295" s="29" t="s">
        <v>544</v>
      </c>
      <c r="E295" s="32">
        <v>0</v>
      </c>
      <c r="F295" s="32">
        <v>58243251</v>
      </c>
      <c r="G295" s="32">
        <v>0</v>
      </c>
      <c r="H295" s="32">
        <v>0</v>
      </c>
    </row>
    <row r="296" spans="1:8" s="33" customFormat="1" x14ac:dyDescent="0.2">
      <c r="A296" s="29" t="s">
        <v>545</v>
      </c>
      <c r="B296" s="33" t="s">
        <v>1034</v>
      </c>
      <c r="C296" s="30">
        <v>6</v>
      </c>
      <c r="D296" s="29" t="s">
        <v>546</v>
      </c>
      <c r="E296" s="32">
        <v>1393580</v>
      </c>
      <c r="F296" s="32">
        <v>6425763</v>
      </c>
      <c r="G296" s="32">
        <v>4827623</v>
      </c>
      <c r="H296" s="32">
        <v>2451709</v>
      </c>
    </row>
    <row r="297" spans="1:8" ht="12.75" x14ac:dyDescent="0.2">
      <c r="A297" s="20" t="s">
        <v>547</v>
      </c>
      <c r="B297" s="22"/>
      <c r="C297" s="21">
        <v>2</v>
      </c>
      <c r="D297" s="22" t="s">
        <v>548</v>
      </c>
      <c r="E297" s="23">
        <v>10413317182</v>
      </c>
      <c r="F297" s="23">
        <v>13653036035</v>
      </c>
      <c r="G297" s="23">
        <v>3342558844</v>
      </c>
      <c r="H297" s="23">
        <v>1831679753</v>
      </c>
    </row>
    <row r="298" spans="1:8" x14ac:dyDescent="0.2">
      <c r="A298" s="25" t="s">
        <v>549</v>
      </c>
      <c r="B298" s="24" t="s">
        <v>1039</v>
      </c>
      <c r="C298" s="26">
        <v>4</v>
      </c>
      <c r="D298" s="25" t="s">
        <v>550</v>
      </c>
      <c r="E298" s="28">
        <v>9139558610</v>
      </c>
      <c r="F298" s="28">
        <v>13126712403</v>
      </c>
      <c r="G298" s="28">
        <v>0</v>
      </c>
      <c r="H298" s="28">
        <v>0</v>
      </c>
    </row>
    <row r="299" spans="1:8" s="33" customFormat="1" x14ac:dyDescent="0.2">
      <c r="A299" s="29" t="s">
        <v>551</v>
      </c>
      <c r="C299" s="30">
        <v>6</v>
      </c>
      <c r="D299" s="29" t="s">
        <v>61</v>
      </c>
      <c r="E299" s="32">
        <v>9139558610</v>
      </c>
      <c r="F299" s="32">
        <v>13126712403</v>
      </c>
      <c r="G299" s="32">
        <v>0</v>
      </c>
      <c r="H299" s="32">
        <v>0</v>
      </c>
    </row>
    <row r="300" spans="1:8" x14ac:dyDescent="0.2">
      <c r="A300" s="25" t="s">
        <v>552</v>
      </c>
      <c r="B300" s="24" t="s">
        <v>1039</v>
      </c>
      <c r="C300" s="26">
        <v>4</v>
      </c>
      <c r="D300" s="25" t="s">
        <v>553</v>
      </c>
      <c r="E300" s="28">
        <v>0</v>
      </c>
      <c r="F300" s="28">
        <v>47622979</v>
      </c>
      <c r="G300" s="28">
        <v>0</v>
      </c>
      <c r="H300" s="28">
        <v>0</v>
      </c>
    </row>
    <row r="301" spans="1:8" s="33" customFormat="1" x14ac:dyDescent="0.2">
      <c r="A301" s="29" t="s">
        <v>554</v>
      </c>
      <c r="C301" s="30">
        <v>6</v>
      </c>
      <c r="D301" s="29" t="s">
        <v>334</v>
      </c>
      <c r="E301" s="32">
        <v>0</v>
      </c>
      <c r="F301" s="32">
        <v>39922979</v>
      </c>
      <c r="G301" s="32">
        <v>0</v>
      </c>
      <c r="H301" s="32">
        <v>0</v>
      </c>
    </row>
    <row r="302" spans="1:8" s="33" customFormat="1" x14ac:dyDescent="0.2">
      <c r="A302" s="29" t="s">
        <v>555</v>
      </c>
      <c r="C302" s="30">
        <v>6</v>
      </c>
      <c r="D302" s="29" t="s">
        <v>336</v>
      </c>
      <c r="E302" s="32">
        <v>0</v>
      </c>
      <c r="F302" s="32">
        <v>7700000</v>
      </c>
      <c r="G302" s="32">
        <v>0</v>
      </c>
      <c r="H302" s="32">
        <v>0</v>
      </c>
    </row>
    <row r="303" spans="1:8" x14ac:dyDescent="0.2">
      <c r="A303" s="25" t="s">
        <v>556</v>
      </c>
      <c r="B303" s="24" t="s">
        <v>1039</v>
      </c>
      <c r="C303" s="26">
        <v>4</v>
      </c>
      <c r="D303" s="25" t="s">
        <v>557</v>
      </c>
      <c r="E303" s="28">
        <v>964239818</v>
      </c>
      <c r="F303" s="28">
        <v>188268000</v>
      </c>
      <c r="G303" s="28">
        <v>0</v>
      </c>
      <c r="H303" s="28">
        <v>0</v>
      </c>
    </row>
    <row r="304" spans="1:8" s="33" customFormat="1" x14ac:dyDescent="0.2">
      <c r="A304" s="29" t="s">
        <v>558</v>
      </c>
      <c r="C304" s="30">
        <v>6</v>
      </c>
      <c r="D304" s="29" t="s">
        <v>347</v>
      </c>
      <c r="E304" s="32">
        <v>964239818</v>
      </c>
      <c r="F304" s="32">
        <v>188268000</v>
      </c>
      <c r="G304" s="32">
        <v>0</v>
      </c>
      <c r="H304" s="32">
        <v>0</v>
      </c>
    </row>
    <row r="305" spans="1:8" x14ac:dyDescent="0.2">
      <c r="A305" s="25" t="s">
        <v>559</v>
      </c>
      <c r="B305" s="24" t="s">
        <v>1037</v>
      </c>
      <c r="C305" s="26">
        <v>4</v>
      </c>
      <c r="D305" s="25" t="s">
        <v>560</v>
      </c>
      <c r="E305" s="28">
        <v>66661429</v>
      </c>
      <c r="F305" s="28">
        <v>47286786</v>
      </c>
      <c r="G305" s="28">
        <v>0</v>
      </c>
      <c r="H305" s="28">
        <v>0</v>
      </c>
    </row>
    <row r="306" spans="1:8" s="33" customFormat="1" x14ac:dyDescent="0.2">
      <c r="A306" s="29" t="s">
        <v>561</v>
      </c>
      <c r="C306" s="30">
        <v>6</v>
      </c>
      <c r="D306" s="29" t="s">
        <v>129</v>
      </c>
      <c r="E306" s="32">
        <v>44094661</v>
      </c>
      <c r="F306" s="32">
        <v>16672005</v>
      </c>
      <c r="G306" s="32">
        <v>0</v>
      </c>
      <c r="H306" s="32">
        <v>0</v>
      </c>
    </row>
    <row r="307" spans="1:8" s="33" customFormat="1" x14ac:dyDescent="0.2">
      <c r="A307" s="29" t="s">
        <v>562</v>
      </c>
      <c r="C307" s="30">
        <v>6</v>
      </c>
      <c r="D307" s="29" t="s">
        <v>563</v>
      </c>
      <c r="E307" s="32">
        <v>20320093</v>
      </c>
      <c r="F307" s="32">
        <v>22797164</v>
      </c>
      <c r="G307" s="32">
        <v>0</v>
      </c>
      <c r="H307" s="32">
        <v>0</v>
      </c>
    </row>
    <row r="308" spans="1:8" s="33" customFormat="1" x14ac:dyDescent="0.2">
      <c r="A308" s="29" t="s">
        <v>564</v>
      </c>
      <c r="C308" s="30">
        <v>6</v>
      </c>
      <c r="D308" s="29" t="s">
        <v>141</v>
      </c>
      <c r="E308" s="32">
        <v>2246675</v>
      </c>
      <c r="F308" s="32">
        <v>7817617</v>
      </c>
      <c r="G308" s="32">
        <v>0</v>
      </c>
      <c r="H308" s="32">
        <v>0</v>
      </c>
    </row>
    <row r="309" spans="1:8" x14ac:dyDescent="0.2">
      <c r="A309" s="25" t="s">
        <v>565</v>
      </c>
      <c r="B309" s="24" t="s">
        <v>1038</v>
      </c>
      <c r="C309" s="26">
        <v>4</v>
      </c>
      <c r="D309" s="25" t="s">
        <v>566</v>
      </c>
      <c r="E309" s="28">
        <v>242857325</v>
      </c>
      <c r="F309" s="28">
        <v>243145867</v>
      </c>
      <c r="G309" s="28">
        <v>0</v>
      </c>
      <c r="H309" s="28">
        <v>0</v>
      </c>
    </row>
    <row r="310" spans="1:8" s="33" customFormat="1" x14ac:dyDescent="0.2">
      <c r="A310" s="29" t="s">
        <v>567</v>
      </c>
      <c r="C310" s="30">
        <v>6</v>
      </c>
      <c r="D310" s="29" t="s">
        <v>568</v>
      </c>
      <c r="E310" s="32">
        <v>218520000</v>
      </c>
      <c r="F310" s="32">
        <v>218520000</v>
      </c>
      <c r="G310" s="32">
        <v>0</v>
      </c>
      <c r="H310" s="32">
        <v>0</v>
      </c>
    </row>
    <row r="311" spans="1:8" s="33" customFormat="1" x14ac:dyDescent="0.2">
      <c r="A311" s="29" t="s">
        <v>569</v>
      </c>
      <c r="C311" s="30">
        <v>6</v>
      </c>
      <c r="D311" s="29" t="s">
        <v>570</v>
      </c>
      <c r="E311" s="32">
        <v>24337325</v>
      </c>
      <c r="F311" s="32">
        <v>24625867</v>
      </c>
      <c r="G311" s="32">
        <v>0</v>
      </c>
      <c r="H311" s="32">
        <v>0</v>
      </c>
    </row>
    <row r="312" spans="1:8" x14ac:dyDescent="0.2">
      <c r="A312" s="25" t="s">
        <v>571</v>
      </c>
      <c r="B312" s="24" t="s">
        <v>1039</v>
      </c>
      <c r="C312" s="26">
        <v>4</v>
      </c>
      <c r="D312" s="25" t="s">
        <v>572</v>
      </c>
      <c r="E312" s="28">
        <v>0</v>
      </c>
      <c r="F312" s="28">
        <v>0</v>
      </c>
      <c r="G312" s="28">
        <v>2535769364</v>
      </c>
      <c r="H312" s="28">
        <v>1619091206</v>
      </c>
    </row>
    <row r="313" spans="1:8" s="33" customFormat="1" x14ac:dyDescent="0.2">
      <c r="A313" s="29" t="s">
        <v>573</v>
      </c>
      <c r="C313" s="30">
        <v>6</v>
      </c>
      <c r="D313" s="29" t="s">
        <v>61</v>
      </c>
      <c r="E313" s="32">
        <v>0</v>
      </c>
      <c r="F313" s="32">
        <v>0</v>
      </c>
      <c r="G313" s="32">
        <v>2523178194</v>
      </c>
      <c r="H313" s="32">
        <v>1611574438</v>
      </c>
    </row>
    <row r="314" spans="1:8" s="33" customFormat="1" x14ac:dyDescent="0.2">
      <c r="A314" s="29" t="s">
        <v>574</v>
      </c>
      <c r="C314" s="30">
        <v>6</v>
      </c>
      <c r="D314" s="29" t="s">
        <v>61</v>
      </c>
      <c r="E314" s="32">
        <v>0</v>
      </c>
      <c r="F314" s="32">
        <v>0</v>
      </c>
      <c r="G314" s="32">
        <v>12591170</v>
      </c>
      <c r="H314" s="32">
        <v>7516768</v>
      </c>
    </row>
    <row r="315" spans="1:8" x14ac:dyDescent="0.2">
      <c r="A315" s="25" t="s">
        <v>575</v>
      </c>
      <c r="B315" s="24" t="s">
        <v>1037</v>
      </c>
      <c r="C315" s="26">
        <v>4</v>
      </c>
      <c r="D315" s="25" t="s">
        <v>560</v>
      </c>
      <c r="E315" s="28">
        <v>0</v>
      </c>
      <c r="F315" s="28">
        <v>0</v>
      </c>
      <c r="G315" s="28">
        <v>109068276</v>
      </c>
      <c r="H315" s="28">
        <v>47404524</v>
      </c>
    </row>
    <row r="316" spans="1:8" s="33" customFormat="1" x14ac:dyDescent="0.2">
      <c r="A316" s="29" t="s">
        <v>576</v>
      </c>
      <c r="C316" s="30">
        <v>6</v>
      </c>
      <c r="D316" s="29" t="s">
        <v>129</v>
      </c>
      <c r="E316" s="32">
        <v>0</v>
      </c>
      <c r="F316" s="32">
        <v>0</v>
      </c>
      <c r="G316" s="32">
        <v>86050982</v>
      </c>
      <c r="H316" s="32">
        <v>38142792</v>
      </c>
    </row>
    <row r="317" spans="1:8" s="33" customFormat="1" x14ac:dyDescent="0.2">
      <c r="A317" s="29" t="s">
        <v>577</v>
      </c>
      <c r="C317" s="30">
        <v>6</v>
      </c>
      <c r="D317" s="29" t="s">
        <v>563</v>
      </c>
      <c r="E317" s="32">
        <v>0</v>
      </c>
      <c r="F317" s="32">
        <v>0</v>
      </c>
      <c r="G317" s="32">
        <v>22863966</v>
      </c>
      <c r="H317" s="32">
        <v>9191324</v>
      </c>
    </row>
    <row r="318" spans="1:8" s="33" customFormat="1" x14ac:dyDescent="0.2">
      <c r="A318" s="29" t="s">
        <v>578</v>
      </c>
      <c r="C318" s="30">
        <v>6</v>
      </c>
      <c r="D318" s="29" t="s">
        <v>141</v>
      </c>
      <c r="E318" s="32">
        <v>0</v>
      </c>
      <c r="F318" s="32">
        <v>0</v>
      </c>
      <c r="G318" s="32">
        <v>153328</v>
      </c>
      <c r="H318" s="32">
        <v>70408</v>
      </c>
    </row>
    <row r="319" spans="1:8" x14ac:dyDescent="0.2">
      <c r="A319" s="25" t="s">
        <v>579</v>
      </c>
      <c r="B319" s="24" t="s">
        <v>1039</v>
      </c>
      <c r="C319" s="26">
        <v>4</v>
      </c>
      <c r="D319" s="25" t="s">
        <v>580</v>
      </c>
      <c r="E319" s="28">
        <v>0</v>
      </c>
      <c r="F319" s="28">
        <v>0</v>
      </c>
      <c r="G319" s="28">
        <v>303673970</v>
      </c>
      <c r="H319" s="28">
        <v>146293115</v>
      </c>
    </row>
    <row r="320" spans="1:8" s="33" customFormat="1" x14ac:dyDescent="0.2">
      <c r="A320" s="29" t="s">
        <v>581</v>
      </c>
      <c r="C320" s="30">
        <v>6</v>
      </c>
      <c r="D320" s="36" t="s">
        <v>330</v>
      </c>
      <c r="E320" s="32">
        <v>0</v>
      </c>
      <c r="F320" s="32">
        <v>0</v>
      </c>
      <c r="G320" s="32">
        <v>303673970</v>
      </c>
      <c r="H320" s="32">
        <v>146293115</v>
      </c>
    </row>
    <row r="321" spans="1:8" x14ac:dyDescent="0.2">
      <c r="A321" s="25" t="s">
        <v>582</v>
      </c>
      <c r="B321" s="24" t="s">
        <v>1039</v>
      </c>
      <c r="C321" s="26">
        <v>4</v>
      </c>
      <c r="D321" s="25" t="s">
        <v>557</v>
      </c>
      <c r="E321" s="28">
        <v>0</v>
      </c>
      <c r="F321" s="28">
        <v>0</v>
      </c>
      <c r="G321" s="28">
        <v>394047234</v>
      </c>
      <c r="H321" s="28">
        <v>18890908</v>
      </c>
    </row>
    <row r="322" spans="1:8" s="33" customFormat="1" x14ac:dyDescent="0.2">
      <c r="A322" s="29" t="s">
        <v>583</v>
      </c>
      <c r="C322" s="30">
        <v>6</v>
      </c>
      <c r="D322" s="36" t="s">
        <v>584</v>
      </c>
      <c r="E322" s="32">
        <v>0</v>
      </c>
      <c r="F322" s="32">
        <v>0</v>
      </c>
      <c r="G322" s="32">
        <v>394047234</v>
      </c>
      <c r="H322" s="32">
        <v>18890908</v>
      </c>
    </row>
    <row r="323" spans="1:8" ht="12.75" x14ac:dyDescent="0.2">
      <c r="A323" s="20" t="s">
        <v>585</v>
      </c>
      <c r="B323" s="22"/>
      <c r="C323" s="21">
        <v>2</v>
      </c>
      <c r="D323" s="22" t="s">
        <v>586</v>
      </c>
      <c r="E323" s="23">
        <v>0</v>
      </c>
      <c r="F323" s="23">
        <v>0</v>
      </c>
      <c r="G323" s="23">
        <v>1799539968307</v>
      </c>
      <c r="H323" s="23">
        <v>645256162613</v>
      </c>
    </row>
    <row r="324" spans="1:8" x14ac:dyDescent="0.2">
      <c r="A324" s="25" t="s">
        <v>587</v>
      </c>
      <c r="C324" s="26">
        <v>4</v>
      </c>
      <c r="D324" s="25" t="s">
        <v>588</v>
      </c>
      <c r="E324" s="28">
        <v>0</v>
      </c>
      <c r="F324" s="28">
        <v>0</v>
      </c>
      <c r="G324" s="28">
        <v>1799539968307</v>
      </c>
      <c r="H324" s="28">
        <v>645256162613</v>
      </c>
    </row>
    <row r="325" spans="1:8" s="33" customFormat="1" x14ac:dyDescent="0.2">
      <c r="A325" s="29" t="s">
        <v>589</v>
      </c>
      <c r="B325" s="33" t="s">
        <v>1040</v>
      </c>
      <c r="C325" s="30">
        <v>6</v>
      </c>
      <c r="D325" s="29" t="s">
        <v>590</v>
      </c>
      <c r="E325" s="32">
        <v>0</v>
      </c>
      <c r="F325" s="32">
        <v>0</v>
      </c>
      <c r="G325" s="32">
        <v>22729042050</v>
      </c>
      <c r="H325" s="32">
        <v>9223733554</v>
      </c>
    </row>
    <row r="326" spans="1:8" s="33" customFormat="1" x14ac:dyDescent="0.2">
      <c r="A326" s="29" t="s">
        <v>591</v>
      </c>
      <c r="B326" s="33" t="s">
        <v>1040</v>
      </c>
      <c r="C326" s="30">
        <v>6</v>
      </c>
      <c r="D326" s="29" t="s">
        <v>592</v>
      </c>
      <c r="E326" s="32">
        <v>0</v>
      </c>
      <c r="F326" s="32">
        <v>0</v>
      </c>
      <c r="G326" s="32">
        <v>21056787352</v>
      </c>
      <c r="H326" s="32">
        <v>13027507478</v>
      </c>
    </row>
    <row r="327" spans="1:8" s="33" customFormat="1" x14ac:dyDescent="0.2">
      <c r="A327" s="29" t="s">
        <v>593</v>
      </c>
      <c r="B327" s="33" t="s">
        <v>1040</v>
      </c>
      <c r="C327" s="30">
        <v>6</v>
      </c>
      <c r="D327" s="29" t="s">
        <v>594</v>
      </c>
      <c r="E327" s="32">
        <v>0</v>
      </c>
      <c r="F327" s="32">
        <v>0</v>
      </c>
      <c r="G327" s="32">
        <v>1766142717</v>
      </c>
      <c r="H327" s="32">
        <v>1469280923</v>
      </c>
    </row>
    <row r="328" spans="1:8" s="33" customFormat="1" x14ac:dyDescent="0.2">
      <c r="A328" s="29" t="s">
        <v>595</v>
      </c>
      <c r="B328" s="33" t="s">
        <v>1040</v>
      </c>
      <c r="C328" s="30">
        <v>6</v>
      </c>
      <c r="D328" s="29" t="s">
        <v>596</v>
      </c>
      <c r="E328" s="32">
        <v>0</v>
      </c>
      <c r="F328" s="32">
        <v>0</v>
      </c>
      <c r="G328" s="32">
        <v>473730695489</v>
      </c>
      <c r="H328" s="32">
        <v>201634426049</v>
      </c>
    </row>
    <row r="329" spans="1:8" s="33" customFormat="1" x14ac:dyDescent="0.2">
      <c r="A329" s="29" t="s">
        <v>597</v>
      </c>
      <c r="B329" s="33" t="s">
        <v>1040</v>
      </c>
      <c r="C329" s="30">
        <v>6</v>
      </c>
      <c r="D329" s="29" t="s">
        <v>598</v>
      </c>
      <c r="E329" s="32">
        <v>0</v>
      </c>
      <c r="F329" s="32">
        <v>0</v>
      </c>
      <c r="G329" s="32">
        <v>1076589925395</v>
      </c>
      <c r="H329" s="32">
        <v>387808817989</v>
      </c>
    </row>
    <row r="330" spans="1:8" s="33" customFormat="1" x14ac:dyDescent="0.2">
      <c r="A330" s="29" t="s">
        <v>599</v>
      </c>
      <c r="B330" s="33" t="s">
        <v>1040</v>
      </c>
      <c r="C330" s="30">
        <v>6</v>
      </c>
      <c r="D330" s="29" t="s">
        <v>600</v>
      </c>
      <c r="E330" s="32">
        <v>0</v>
      </c>
      <c r="F330" s="32">
        <v>0</v>
      </c>
      <c r="G330" s="32">
        <v>4704909</v>
      </c>
      <c r="H330" s="32">
        <v>0</v>
      </c>
    </row>
    <row r="331" spans="1:8" s="33" customFormat="1" x14ac:dyDescent="0.2">
      <c r="A331" s="29" t="s">
        <v>601</v>
      </c>
      <c r="B331" s="33" t="s">
        <v>1040</v>
      </c>
      <c r="C331" s="30">
        <v>6</v>
      </c>
      <c r="D331" s="29" t="s">
        <v>600</v>
      </c>
      <c r="E331" s="32">
        <v>0</v>
      </c>
      <c r="F331" s="32">
        <v>0</v>
      </c>
      <c r="G331" s="32">
        <v>1312538299</v>
      </c>
      <c r="H331" s="32">
        <v>917514913</v>
      </c>
    </row>
    <row r="332" spans="1:8" s="33" customFormat="1" x14ac:dyDescent="0.2">
      <c r="A332" s="29" t="s">
        <v>602</v>
      </c>
      <c r="B332" s="33" t="s">
        <v>1041</v>
      </c>
      <c r="C332" s="30">
        <v>6</v>
      </c>
      <c r="D332" s="29" t="s">
        <v>341</v>
      </c>
      <c r="E332" s="32">
        <v>0</v>
      </c>
      <c r="F332" s="32">
        <v>0</v>
      </c>
      <c r="G332" s="32">
        <v>0</v>
      </c>
      <c r="H332" s="32">
        <v>31067663462</v>
      </c>
    </row>
    <row r="333" spans="1:8" s="33" customFormat="1" x14ac:dyDescent="0.2">
      <c r="A333" s="29" t="s">
        <v>603</v>
      </c>
      <c r="B333" s="33" t="s">
        <v>1041</v>
      </c>
      <c r="C333" s="30">
        <v>6</v>
      </c>
      <c r="D333" s="39" t="s">
        <v>343</v>
      </c>
      <c r="E333" s="32">
        <v>0</v>
      </c>
      <c r="F333" s="32">
        <v>0</v>
      </c>
      <c r="G333" s="32">
        <v>42366622294</v>
      </c>
      <c r="H333" s="32">
        <v>0</v>
      </c>
    </row>
    <row r="334" spans="1:8" s="33" customFormat="1" x14ac:dyDescent="0.2">
      <c r="A334" s="29" t="s">
        <v>604</v>
      </c>
      <c r="B334" s="33" t="s">
        <v>1041</v>
      </c>
      <c r="C334" s="30">
        <v>6</v>
      </c>
      <c r="D334" s="39" t="s">
        <v>345</v>
      </c>
      <c r="E334" s="32">
        <v>0</v>
      </c>
      <c r="F334" s="32">
        <v>0</v>
      </c>
      <c r="G334" s="32">
        <v>1214868213</v>
      </c>
      <c r="H334" s="32">
        <v>10511475</v>
      </c>
    </row>
    <row r="335" spans="1:8" s="33" customFormat="1" x14ac:dyDescent="0.2">
      <c r="A335" s="29" t="s">
        <v>605</v>
      </c>
      <c r="B335" s="33" t="s">
        <v>1040</v>
      </c>
      <c r="C335" s="30">
        <v>6</v>
      </c>
      <c r="D335" s="39" t="s">
        <v>606</v>
      </c>
      <c r="E335" s="32">
        <v>0</v>
      </c>
      <c r="F335" s="32">
        <v>0</v>
      </c>
      <c r="G335" s="32">
        <v>158768641589</v>
      </c>
      <c r="H335" s="32">
        <v>96706770</v>
      </c>
    </row>
    <row r="336" spans="1:8" ht="12.75" x14ac:dyDescent="0.2">
      <c r="A336" s="20" t="s">
        <v>607</v>
      </c>
      <c r="B336" s="22"/>
      <c r="C336" s="21">
        <v>2</v>
      </c>
      <c r="D336" s="22" t="s">
        <v>608</v>
      </c>
      <c r="E336" s="23">
        <v>11797174922</v>
      </c>
      <c r="F336" s="23">
        <v>29586405422</v>
      </c>
      <c r="G336" s="23">
        <v>5413823466</v>
      </c>
      <c r="H336" s="23">
        <v>2196824839</v>
      </c>
    </row>
    <row r="337" spans="1:8" x14ac:dyDescent="0.2">
      <c r="A337" s="25" t="s">
        <v>609</v>
      </c>
      <c r="B337" s="24" t="s">
        <v>1043</v>
      </c>
      <c r="C337" s="26">
        <v>4</v>
      </c>
      <c r="D337" s="25" t="s">
        <v>610</v>
      </c>
      <c r="E337" s="28">
        <v>2976449929</v>
      </c>
      <c r="F337" s="28">
        <v>7047842313</v>
      </c>
      <c r="G337" s="28">
        <v>0</v>
      </c>
      <c r="H337" s="28">
        <v>0</v>
      </c>
    </row>
    <row r="338" spans="1:8" s="33" customFormat="1" x14ac:dyDescent="0.2">
      <c r="A338" s="29" t="s">
        <v>611</v>
      </c>
      <c r="C338" s="30">
        <v>6</v>
      </c>
      <c r="D338" s="29" t="s">
        <v>612</v>
      </c>
      <c r="E338" s="32">
        <v>2976449929</v>
      </c>
      <c r="F338" s="32">
        <v>7047842313</v>
      </c>
      <c r="G338" s="32">
        <v>0</v>
      </c>
      <c r="H338" s="32">
        <v>0</v>
      </c>
    </row>
    <row r="339" spans="1:8" x14ac:dyDescent="0.2">
      <c r="A339" s="25" t="s">
        <v>613</v>
      </c>
      <c r="B339" s="24" t="s">
        <v>1042</v>
      </c>
      <c r="C339" s="26">
        <v>4</v>
      </c>
      <c r="D339" s="25" t="s">
        <v>232</v>
      </c>
      <c r="E339" s="28">
        <v>34011218</v>
      </c>
      <c r="F339" s="28">
        <v>80830697</v>
      </c>
      <c r="G339" s="28">
        <v>50714950</v>
      </c>
      <c r="H339" s="28">
        <v>16269883</v>
      </c>
    </row>
    <row r="340" spans="1:8" s="33" customFormat="1" x14ac:dyDescent="0.2">
      <c r="A340" s="29" t="s">
        <v>614</v>
      </c>
      <c r="C340" s="30">
        <v>6</v>
      </c>
      <c r="D340" s="29" t="s">
        <v>615</v>
      </c>
      <c r="E340" s="32">
        <v>0</v>
      </c>
      <c r="F340" s="32">
        <v>0</v>
      </c>
      <c r="G340" s="32">
        <v>1705032</v>
      </c>
      <c r="H340" s="32">
        <v>1820224</v>
      </c>
    </row>
    <row r="341" spans="1:8" s="33" customFormat="1" x14ac:dyDescent="0.2">
      <c r="A341" s="29" t="s">
        <v>616</v>
      </c>
      <c r="C341" s="30">
        <v>6</v>
      </c>
      <c r="D341" s="29" t="s">
        <v>617</v>
      </c>
      <c r="E341" s="32">
        <v>34011218</v>
      </c>
      <c r="F341" s="32">
        <v>80830697</v>
      </c>
      <c r="G341" s="32">
        <v>0</v>
      </c>
      <c r="H341" s="32">
        <v>0</v>
      </c>
    </row>
    <row r="342" spans="1:8" s="33" customFormat="1" x14ac:dyDescent="0.2">
      <c r="A342" s="29" t="s">
        <v>618</v>
      </c>
      <c r="C342" s="30">
        <v>6</v>
      </c>
      <c r="D342" s="29" t="s">
        <v>619</v>
      </c>
      <c r="E342" s="32">
        <v>0</v>
      </c>
      <c r="F342" s="32">
        <v>0</v>
      </c>
      <c r="G342" s="32">
        <v>49009918</v>
      </c>
      <c r="H342" s="32">
        <v>14449659</v>
      </c>
    </row>
    <row r="343" spans="1:8" x14ac:dyDescent="0.2">
      <c r="A343" s="25" t="s">
        <v>620</v>
      </c>
      <c r="B343" s="24" t="s">
        <v>1043</v>
      </c>
      <c r="C343" s="26">
        <v>4</v>
      </c>
      <c r="D343" s="25" t="s">
        <v>394</v>
      </c>
      <c r="E343" s="28">
        <v>0</v>
      </c>
      <c r="F343" s="28">
        <v>0</v>
      </c>
      <c r="G343" s="28">
        <v>5152753212</v>
      </c>
      <c r="H343" s="28">
        <v>1830870019</v>
      </c>
    </row>
    <row r="344" spans="1:8" s="33" customFormat="1" x14ac:dyDescent="0.2">
      <c r="A344" s="29" t="s">
        <v>621</v>
      </c>
      <c r="C344" s="30">
        <v>6</v>
      </c>
      <c r="D344" s="29" t="s">
        <v>544</v>
      </c>
      <c r="E344" s="32">
        <v>0</v>
      </c>
      <c r="F344" s="32">
        <v>0</v>
      </c>
      <c r="G344" s="32">
        <v>108954788</v>
      </c>
      <c r="H344" s="32">
        <v>41333130</v>
      </c>
    </row>
    <row r="345" spans="1:8" s="33" customFormat="1" x14ac:dyDescent="0.2">
      <c r="A345" s="29" t="s">
        <v>622</v>
      </c>
      <c r="C345" s="30">
        <v>6</v>
      </c>
      <c r="D345" s="29" t="s">
        <v>623</v>
      </c>
      <c r="E345" s="32">
        <v>0</v>
      </c>
      <c r="F345" s="32">
        <v>0</v>
      </c>
      <c r="G345" s="32">
        <v>5043798424</v>
      </c>
      <c r="H345" s="32">
        <v>1789536889</v>
      </c>
    </row>
    <row r="346" spans="1:8" x14ac:dyDescent="0.2">
      <c r="A346" s="25" t="s">
        <v>624</v>
      </c>
      <c r="B346" s="24" t="s">
        <v>1082</v>
      </c>
      <c r="C346" s="26">
        <v>4</v>
      </c>
      <c r="D346" s="25" t="s">
        <v>625</v>
      </c>
      <c r="E346" s="28">
        <v>1362436</v>
      </c>
      <c r="F346" s="28">
        <v>85000230</v>
      </c>
      <c r="G346" s="28">
        <v>0</v>
      </c>
      <c r="H346" s="28">
        <v>0</v>
      </c>
    </row>
    <row r="347" spans="1:8" s="33" customFormat="1" x14ac:dyDescent="0.2">
      <c r="A347" s="29" t="s">
        <v>626</v>
      </c>
      <c r="C347" s="30">
        <v>6</v>
      </c>
      <c r="D347" s="29" t="s">
        <v>627</v>
      </c>
      <c r="E347" s="32">
        <v>1362436</v>
      </c>
      <c r="F347" s="32">
        <v>0</v>
      </c>
      <c r="G347" s="32">
        <v>0</v>
      </c>
      <c r="H347" s="32">
        <v>0</v>
      </c>
    </row>
    <row r="348" spans="1:8" s="33" customFormat="1" x14ac:dyDescent="0.2">
      <c r="A348" s="29" t="s">
        <v>628</v>
      </c>
      <c r="C348" s="30">
        <v>6</v>
      </c>
      <c r="D348" s="34" t="s">
        <v>629</v>
      </c>
      <c r="E348" s="32">
        <v>0</v>
      </c>
      <c r="F348" s="32">
        <v>230</v>
      </c>
      <c r="G348" s="32">
        <v>0</v>
      </c>
      <c r="H348" s="32">
        <v>0</v>
      </c>
    </row>
    <row r="349" spans="1:8" s="33" customFormat="1" x14ac:dyDescent="0.2">
      <c r="A349" s="29" t="s">
        <v>630</v>
      </c>
      <c r="C349" s="30">
        <v>6</v>
      </c>
      <c r="D349" s="34" t="s">
        <v>631</v>
      </c>
      <c r="E349" s="32">
        <v>0</v>
      </c>
      <c r="F349" s="32">
        <v>85000000</v>
      </c>
      <c r="G349" s="32">
        <v>0</v>
      </c>
      <c r="H349" s="32">
        <v>0</v>
      </c>
    </row>
    <row r="350" spans="1:8" x14ac:dyDescent="0.2">
      <c r="A350" s="25" t="s">
        <v>632</v>
      </c>
      <c r="B350" s="24" t="s">
        <v>1082</v>
      </c>
      <c r="C350" s="26">
        <v>4</v>
      </c>
      <c r="D350" s="25" t="s">
        <v>418</v>
      </c>
      <c r="E350" s="28">
        <v>60000</v>
      </c>
      <c r="F350" s="28">
        <v>187345</v>
      </c>
      <c r="G350" s="28">
        <v>0</v>
      </c>
      <c r="H350" s="28">
        <v>0</v>
      </c>
    </row>
    <row r="351" spans="1:8" s="33" customFormat="1" x14ac:dyDescent="0.2">
      <c r="A351" s="29" t="s">
        <v>633</v>
      </c>
      <c r="C351" s="30">
        <v>6</v>
      </c>
      <c r="D351" s="29" t="s">
        <v>634</v>
      </c>
      <c r="E351" s="32">
        <v>60000</v>
      </c>
      <c r="F351" s="32">
        <v>187345</v>
      </c>
      <c r="G351" s="32">
        <v>0</v>
      </c>
      <c r="H351" s="32">
        <v>0</v>
      </c>
    </row>
    <row r="352" spans="1:8" x14ac:dyDescent="0.2">
      <c r="A352" s="25" t="s">
        <v>635</v>
      </c>
      <c r="B352" s="24" t="s">
        <v>1044</v>
      </c>
      <c r="C352" s="26">
        <v>4</v>
      </c>
      <c r="D352" s="25" t="s">
        <v>422</v>
      </c>
      <c r="E352" s="28">
        <v>8785291339</v>
      </c>
      <c r="F352" s="28">
        <v>22372544837</v>
      </c>
      <c r="G352" s="28">
        <v>0</v>
      </c>
      <c r="H352" s="28">
        <v>0</v>
      </c>
    </row>
    <row r="353" spans="1:8" s="33" customFormat="1" x14ac:dyDescent="0.2">
      <c r="A353" s="29" t="s">
        <v>636</v>
      </c>
      <c r="C353" s="30">
        <v>6</v>
      </c>
      <c r="D353" s="29" t="s">
        <v>608</v>
      </c>
      <c r="E353" s="32">
        <v>0</v>
      </c>
      <c r="F353" s="32">
        <v>22372544837</v>
      </c>
      <c r="G353" s="32">
        <v>0</v>
      </c>
      <c r="H353" s="32">
        <v>0</v>
      </c>
    </row>
    <row r="354" spans="1:8" x14ac:dyDescent="0.2">
      <c r="A354" s="25" t="s">
        <v>637</v>
      </c>
      <c r="C354" s="26">
        <v>4</v>
      </c>
      <c r="D354" s="25" t="s">
        <v>638</v>
      </c>
      <c r="E354" s="28">
        <v>0</v>
      </c>
      <c r="F354" s="28">
        <v>0</v>
      </c>
      <c r="G354" s="28">
        <v>210355304</v>
      </c>
      <c r="H354" s="28">
        <v>349684937</v>
      </c>
    </row>
    <row r="355" spans="1:8" s="33" customFormat="1" x14ac:dyDescent="0.2">
      <c r="A355" s="29" t="s">
        <v>639</v>
      </c>
      <c r="B355" s="24" t="s">
        <v>1082</v>
      </c>
      <c r="C355" s="30">
        <v>6</v>
      </c>
      <c r="D355" s="29" t="s">
        <v>640</v>
      </c>
      <c r="E355" s="32">
        <v>0</v>
      </c>
      <c r="F355" s="32">
        <v>0</v>
      </c>
      <c r="G355" s="32">
        <v>9317961</v>
      </c>
      <c r="H355" s="32">
        <v>0</v>
      </c>
    </row>
    <row r="356" spans="1:8" s="33" customFormat="1" x14ac:dyDescent="0.2">
      <c r="A356" s="29" t="s">
        <v>641</v>
      </c>
      <c r="B356" s="24" t="s">
        <v>1082</v>
      </c>
      <c r="C356" s="30">
        <v>6</v>
      </c>
      <c r="D356" s="29" t="s">
        <v>642</v>
      </c>
      <c r="E356" s="32">
        <v>0</v>
      </c>
      <c r="F356" s="32">
        <v>0</v>
      </c>
      <c r="G356" s="32">
        <v>193288435</v>
      </c>
      <c r="H356" s="32">
        <v>349415580</v>
      </c>
    </row>
    <row r="357" spans="1:8" s="33" customFormat="1" x14ac:dyDescent="0.2">
      <c r="A357" s="29" t="s">
        <v>643</v>
      </c>
      <c r="B357" s="24" t="s">
        <v>1042</v>
      </c>
      <c r="C357" s="30">
        <v>6</v>
      </c>
      <c r="D357" s="29" t="s">
        <v>277</v>
      </c>
      <c r="E357" s="32">
        <v>0</v>
      </c>
      <c r="F357" s="32">
        <v>0</v>
      </c>
      <c r="G357" s="32">
        <v>2273218</v>
      </c>
      <c r="H357" s="32">
        <v>0</v>
      </c>
    </row>
    <row r="358" spans="1:8" s="33" customFormat="1" x14ac:dyDescent="0.2">
      <c r="A358" s="29" t="s">
        <v>644</v>
      </c>
      <c r="B358" s="24" t="s">
        <v>1082</v>
      </c>
      <c r="C358" s="30">
        <v>6</v>
      </c>
      <c r="D358" s="29" t="s">
        <v>645</v>
      </c>
      <c r="E358" s="32">
        <v>0</v>
      </c>
      <c r="F358" s="32">
        <v>0</v>
      </c>
      <c r="G358" s="32">
        <v>5475690</v>
      </c>
      <c r="H358" s="32">
        <v>269357</v>
      </c>
    </row>
    <row r="359" spans="1:8" s="16" customFormat="1" ht="15" x14ac:dyDescent="0.25">
      <c r="A359" s="17" t="s">
        <v>646</v>
      </c>
      <c r="B359" s="106"/>
      <c r="C359" s="18">
        <v>1</v>
      </c>
      <c r="D359" s="17" t="s">
        <v>647</v>
      </c>
      <c r="E359" s="19">
        <v>0</v>
      </c>
      <c r="F359" s="19">
        <v>1415181059075</v>
      </c>
      <c r="G359" s="19">
        <v>0</v>
      </c>
      <c r="H359" s="19">
        <v>0</v>
      </c>
    </row>
    <row r="360" spans="1:8" x14ac:dyDescent="0.2">
      <c r="A360" s="25" t="s">
        <v>648</v>
      </c>
      <c r="C360" s="26">
        <v>4</v>
      </c>
      <c r="D360" s="25" t="s">
        <v>588</v>
      </c>
      <c r="E360" s="28">
        <v>1258660361437</v>
      </c>
      <c r="F360" s="28">
        <v>1415181059075</v>
      </c>
      <c r="G360" s="28">
        <v>0</v>
      </c>
      <c r="H360" s="28">
        <v>0</v>
      </c>
    </row>
    <row r="361" spans="1:8" s="33" customFormat="1" x14ac:dyDescent="0.2">
      <c r="A361" s="29" t="s">
        <v>649</v>
      </c>
      <c r="B361" s="33" t="s">
        <v>1040</v>
      </c>
      <c r="C361" s="30">
        <v>6</v>
      </c>
      <c r="D361" s="39" t="s">
        <v>650</v>
      </c>
      <c r="E361" s="32">
        <v>2739802393</v>
      </c>
      <c r="F361" s="32">
        <v>9214969247</v>
      </c>
      <c r="G361" s="32">
        <v>0</v>
      </c>
      <c r="H361" s="32">
        <v>0</v>
      </c>
    </row>
    <row r="362" spans="1:8" s="33" customFormat="1" x14ac:dyDescent="0.2">
      <c r="A362" s="29" t="s">
        <v>651</v>
      </c>
      <c r="B362" s="33" t="s">
        <v>1040</v>
      </c>
      <c r="C362" s="30">
        <v>6</v>
      </c>
      <c r="D362" s="39" t="s">
        <v>264</v>
      </c>
      <c r="E362" s="32">
        <v>301424586627</v>
      </c>
      <c r="F362" s="32">
        <v>314228675518</v>
      </c>
      <c r="G362" s="32">
        <v>0</v>
      </c>
      <c r="H362" s="32">
        <v>0</v>
      </c>
    </row>
    <row r="363" spans="1:8" s="33" customFormat="1" x14ac:dyDescent="0.2">
      <c r="A363" s="29" t="s">
        <v>652</v>
      </c>
      <c r="B363" s="33" t="s">
        <v>1040</v>
      </c>
      <c r="C363" s="30">
        <v>6</v>
      </c>
      <c r="D363" s="39" t="s">
        <v>322</v>
      </c>
      <c r="E363" s="32">
        <v>862257280701</v>
      </c>
      <c r="F363" s="32">
        <v>1021895328815</v>
      </c>
      <c r="G363" s="32">
        <v>0</v>
      </c>
      <c r="H363" s="32">
        <v>0</v>
      </c>
    </row>
    <row r="364" spans="1:8" s="33" customFormat="1" x14ac:dyDescent="0.2">
      <c r="A364" s="29" t="s">
        <v>653</v>
      </c>
      <c r="B364" s="33" t="s">
        <v>1040</v>
      </c>
      <c r="C364" s="30">
        <v>6</v>
      </c>
      <c r="D364" s="39" t="s">
        <v>654</v>
      </c>
      <c r="E364" s="32">
        <v>20518643</v>
      </c>
      <c r="F364" s="32">
        <v>251232</v>
      </c>
      <c r="G364" s="32">
        <v>0</v>
      </c>
      <c r="H364" s="32">
        <v>0</v>
      </c>
    </row>
    <row r="365" spans="1:8" s="33" customFormat="1" x14ac:dyDescent="0.2">
      <c r="A365" s="29" t="s">
        <v>655</v>
      </c>
      <c r="B365" s="33" t="s">
        <v>1040</v>
      </c>
      <c r="C365" s="30">
        <v>6</v>
      </c>
      <c r="D365" s="34" t="s">
        <v>600</v>
      </c>
      <c r="E365" s="32">
        <v>0</v>
      </c>
      <c r="F365" s="32">
        <v>315052722</v>
      </c>
      <c r="G365" s="32">
        <v>0</v>
      </c>
      <c r="H365" s="32">
        <v>0</v>
      </c>
    </row>
    <row r="366" spans="1:8" s="33" customFormat="1" x14ac:dyDescent="0.2">
      <c r="A366" s="29" t="s">
        <v>656</v>
      </c>
      <c r="B366" s="33" t="s">
        <v>1041</v>
      </c>
      <c r="C366" s="30">
        <v>6</v>
      </c>
      <c r="D366" s="40" t="s">
        <v>341</v>
      </c>
      <c r="E366" s="32">
        <v>0</v>
      </c>
      <c r="F366" s="32">
        <v>68374470228</v>
      </c>
      <c r="G366" s="32">
        <v>0</v>
      </c>
      <c r="H366" s="32">
        <v>0</v>
      </c>
    </row>
    <row r="367" spans="1:8" s="33" customFormat="1" x14ac:dyDescent="0.2">
      <c r="A367" s="29" t="s">
        <v>657</v>
      </c>
      <c r="B367" s="33" t="s">
        <v>1041</v>
      </c>
      <c r="C367" s="30">
        <v>6</v>
      </c>
      <c r="D367" s="39" t="s">
        <v>658</v>
      </c>
      <c r="E367" s="32">
        <v>0</v>
      </c>
      <c r="F367" s="32">
        <v>1152311313</v>
      </c>
      <c r="G367" s="32">
        <v>0</v>
      </c>
      <c r="H367" s="32">
        <v>0</v>
      </c>
    </row>
    <row r="368" spans="1:8" s="33" customFormat="1" x14ac:dyDescent="0.2">
      <c r="A368" s="29" t="s">
        <v>659</v>
      </c>
      <c r="B368" s="33" t="s">
        <v>1040</v>
      </c>
      <c r="C368" s="30">
        <v>6</v>
      </c>
      <c r="D368" s="39" t="s">
        <v>660</v>
      </c>
      <c r="E368" s="32">
        <v>92218173073</v>
      </c>
      <c r="F368" s="32">
        <v>0</v>
      </c>
      <c r="G368" s="32">
        <v>0</v>
      </c>
      <c r="H368" s="32">
        <v>0</v>
      </c>
    </row>
    <row r="369" spans="1:8" s="33" customFormat="1" x14ac:dyDescent="0.2">
      <c r="A369" s="29" t="s">
        <v>661</v>
      </c>
      <c r="B369" s="33" t="s">
        <v>1034</v>
      </c>
      <c r="C369" s="30">
        <f>LEN(A369)</f>
        <v>6</v>
      </c>
      <c r="D369" s="29" t="s">
        <v>491</v>
      </c>
      <c r="E369" s="32">
        <v>0</v>
      </c>
      <c r="F369" s="32">
        <v>0</v>
      </c>
      <c r="G369" s="32">
        <v>0</v>
      </c>
      <c r="H369" s="32">
        <v>-71071260</v>
      </c>
    </row>
    <row r="370" spans="1:8" s="33" customFormat="1" x14ac:dyDescent="0.2">
      <c r="A370" s="29" t="s">
        <v>662</v>
      </c>
      <c r="B370" s="33" t="s">
        <v>1040</v>
      </c>
      <c r="C370" s="30">
        <f>LEN(A370)</f>
        <v>6</v>
      </c>
      <c r="D370" s="29" t="s">
        <v>600</v>
      </c>
      <c r="E370" s="32">
        <v>0</v>
      </c>
      <c r="F370" s="32">
        <v>0</v>
      </c>
      <c r="G370" s="32">
        <v>0</v>
      </c>
      <c r="H370" s="32">
        <v>-292286136</v>
      </c>
    </row>
    <row r="371" spans="1:8" s="33" customFormat="1" x14ac:dyDescent="0.2">
      <c r="A371" s="29" t="s">
        <v>663</v>
      </c>
      <c r="B371" s="33" t="s">
        <v>1025</v>
      </c>
      <c r="C371" s="30">
        <f>LEN(A371)</f>
        <v>6</v>
      </c>
      <c r="D371" s="34" t="s">
        <v>664</v>
      </c>
      <c r="E371" s="32">
        <v>0</v>
      </c>
      <c r="F371" s="32">
        <v>0</v>
      </c>
      <c r="G371" s="32">
        <v>0</v>
      </c>
      <c r="H371" s="32">
        <v>2920314061</v>
      </c>
    </row>
    <row r="372" spans="1:8" s="33" customFormat="1" x14ac:dyDescent="0.2">
      <c r="A372" s="29" t="s">
        <v>665</v>
      </c>
      <c r="B372" s="33" t="s">
        <v>1034</v>
      </c>
      <c r="C372" s="30">
        <f>LEN(A372)</f>
        <v>6</v>
      </c>
      <c r="D372" s="34" t="s">
        <v>666</v>
      </c>
      <c r="E372" s="32">
        <v>0</v>
      </c>
      <c r="F372" s="32">
        <v>0</v>
      </c>
      <c r="G372" s="32">
        <v>0</v>
      </c>
      <c r="H372" s="32">
        <v>6616</v>
      </c>
    </row>
  </sheetData>
  <autoFilter ref="A1:H372" xr:uid="{00000000-0009-0000-0000-00000A000000}"/>
  <pageMargins left="0.7" right="0.7" top="0.75" bottom="0.75" header="0.3" footer="0.3"/>
  <pageSetup paperSize="9" scale="8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/>
  <dimension ref="A2:H133"/>
  <sheetViews>
    <sheetView showGridLines="0" topLeftCell="A118" zoomScale="111" zoomScaleNormal="145" workbookViewId="0">
      <selection activeCell="C134" sqref="C134"/>
    </sheetView>
  </sheetViews>
  <sheetFormatPr baseColWidth="10" defaultColWidth="11.42578125" defaultRowHeight="12.75" x14ac:dyDescent="0.2"/>
  <cols>
    <col min="1" max="1" width="25.28515625" style="186" customWidth="1"/>
    <col min="2" max="2" width="21.5703125" style="186" customWidth="1"/>
    <col min="3" max="3" width="15.42578125" style="186" customWidth="1"/>
    <col min="4" max="4" width="13.42578125" style="186" customWidth="1"/>
    <col min="5" max="5" width="20.42578125" style="186" bestFit="1" customWidth="1"/>
    <col min="6" max="16384" width="11.42578125" style="186"/>
  </cols>
  <sheetData>
    <row r="2" spans="1:8" x14ac:dyDescent="0.2">
      <c r="A2" s="184" t="s">
        <v>1181</v>
      </c>
      <c r="B2" s="185" t="s">
        <v>1182</v>
      </c>
      <c r="C2" s="185" t="s">
        <v>1183</v>
      </c>
      <c r="D2" s="185" t="s">
        <v>16</v>
      </c>
      <c r="E2" s="185" t="s">
        <v>1184</v>
      </c>
    </row>
    <row r="3" spans="1:8" x14ac:dyDescent="0.2">
      <c r="A3" s="187" t="s">
        <v>1185</v>
      </c>
      <c r="B3" s="188" t="s">
        <v>1186</v>
      </c>
      <c r="C3" s="189">
        <v>570755</v>
      </c>
      <c r="D3" s="190">
        <f t="shared" ref="D3:D34" si="0">VLOOKUP(B3,$B$128:$D$132,3,0)</f>
        <v>864568.8</v>
      </c>
      <c r="E3" s="191">
        <f>C3*D3</f>
        <v>493456965444</v>
      </c>
      <c r="G3" s="186">
        <f>+C3</f>
        <v>570755</v>
      </c>
      <c r="H3" s="186">
        <f>+G3*C125</f>
        <v>542217.25</v>
      </c>
    </row>
    <row r="4" spans="1:8" x14ac:dyDescent="0.2">
      <c r="A4" s="187" t="s">
        <v>1187</v>
      </c>
      <c r="B4" s="188" t="s">
        <v>1188</v>
      </c>
      <c r="C4" s="189">
        <v>10375</v>
      </c>
      <c r="D4" s="190">
        <f t="shared" si="0"/>
        <v>719690.4</v>
      </c>
      <c r="E4" s="191">
        <f t="shared" ref="E4:E67" si="1">C4*D4</f>
        <v>7466787900</v>
      </c>
      <c r="G4" s="186">
        <f>SUM(C3:C123)</f>
        <v>1781803</v>
      </c>
      <c r="H4" s="186">
        <f>+G4*C125</f>
        <v>1692712.8499999999</v>
      </c>
    </row>
    <row r="5" spans="1:8" x14ac:dyDescent="0.2">
      <c r="A5" s="187" t="s">
        <v>1189</v>
      </c>
      <c r="B5" s="188" t="s">
        <v>8</v>
      </c>
      <c r="C5" s="189">
        <v>974</v>
      </c>
      <c r="D5" s="190">
        <f t="shared" si="0"/>
        <v>802238.4</v>
      </c>
      <c r="E5" s="191">
        <f t="shared" si="1"/>
        <v>781380201.60000002</v>
      </c>
      <c r="G5" s="347">
        <f>+G3/G4</f>
        <v>0.32032441296821251</v>
      </c>
      <c r="H5" s="347">
        <f>+H3/H4</f>
        <v>0.32032441296821257</v>
      </c>
    </row>
    <row r="6" spans="1:8" x14ac:dyDescent="0.2">
      <c r="A6" s="187" t="s">
        <v>1190</v>
      </c>
      <c r="B6" s="188" t="s">
        <v>1188</v>
      </c>
      <c r="C6" s="189">
        <v>2906</v>
      </c>
      <c r="D6" s="190">
        <f t="shared" si="0"/>
        <v>719690.4</v>
      </c>
      <c r="E6" s="191">
        <f t="shared" si="1"/>
        <v>2091420302.4000001</v>
      </c>
    </row>
    <row r="7" spans="1:8" x14ac:dyDescent="0.2">
      <c r="A7" s="187" t="s">
        <v>1191</v>
      </c>
      <c r="B7" s="188" t="s">
        <v>1188</v>
      </c>
      <c r="C7" s="189">
        <v>3584</v>
      </c>
      <c r="D7" s="190">
        <f t="shared" si="0"/>
        <v>719690.4</v>
      </c>
      <c r="E7" s="191">
        <f t="shared" si="1"/>
        <v>2579370393.5999999</v>
      </c>
    </row>
    <row r="8" spans="1:8" x14ac:dyDescent="0.2">
      <c r="A8" s="187" t="s">
        <v>1192</v>
      </c>
      <c r="B8" s="188" t="s">
        <v>1188</v>
      </c>
      <c r="C8" s="189">
        <v>2982</v>
      </c>
      <c r="D8" s="190">
        <f t="shared" si="0"/>
        <v>719690.4</v>
      </c>
      <c r="E8" s="191">
        <f t="shared" si="1"/>
        <v>2146116772.8</v>
      </c>
    </row>
    <row r="9" spans="1:8" x14ac:dyDescent="0.2">
      <c r="A9" s="187" t="s">
        <v>1193</v>
      </c>
      <c r="B9" s="188" t="s">
        <v>1188</v>
      </c>
      <c r="C9" s="189">
        <v>20395</v>
      </c>
      <c r="D9" s="190">
        <f t="shared" si="0"/>
        <v>719690.4</v>
      </c>
      <c r="E9" s="191">
        <f t="shared" si="1"/>
        <v>14678085708</v>
      </c>
    </row>
    <row r="10" spans="1:8" x14ac:dyDescent="0.2">
      <c r="A10" s="187" t="s">
        <v>1194</v>
      </c>
      <c r="B10" s="188" t="s">
        <v>1188</v>
      </c>
      <c r="C10" s="189">
        <v>0</v>
      </c>
      <c r="D10" s="190">
        <f t="shared" si="0"/>
        <v>719690.4</v>
      </c>
      <c r="E10" s="191">
        <f t="shared" si="1"/>
        <v>0</v>
      </c>
    </row>
    <row r="11" spans="1:8" x14ac:dyDescent="0.2">
      <c r="A11" s="187" t="s">
        <v>1195</v>
      </c>
      <c r="B11" s="188" t="s">
        <v>8</v>
      </c>
      <c r="C11" s="189">
        <v>2490</v>
      </c>
      <c r="D11" s="190">
        <f t="shared" si="0"/>
        <v>802238.4</v>
      </c>
      <c r="E11" s="191">
        <f t="shared" si="1"/>
        <v>1997573616</v>
      </c>
    </row>
    <row r="12" spans="1:8" x14ac:dyDescent="0.2">
      <c r="A12" s="192" t="s">
        <v>1196</v>
      </c>
      <c r="B12" s="193" t="s">
        <v>1188</v>
      </c>
      <c r="C12" s="189">
        <v>7034</v>
      </c>
      <c r="D12" s="190">
        <f t="shared" si="0"/>
        <v>719690.4</v>
      </c>
      <c r="E12" s="191">
        <f t="shared" si="1"/>
        <v>5062302273.6000004</v>
      </c>
    </row>
    <row r="13" spans="1:8" x14ac:dyDescent="0.2">
      <c r="A13" s="192" t="s">
        <v>1197</v>
      </c>
      <c r="B13" s="193" t="s">
        <v>1188</v>
      </c>
      <c r="C13" s="189">
        <v>5670</v>
      </c>
      <c r="D13" s="190">
        <f t="shared" si="0"/>
        <v>719690.4</v>
      </c>
      <c r="E13" s="191">
        <f t="shared" si="1"/>
        <v>4080644568</v>
      </c>
    </row>
    <row r="14" spans="1:8" x14ac:dyDescent="0.2">
      <c r="A14" s="192" t="s">
        <v>1198</v>
      </c>
      <c r="B14" s="193" t="s">
        <v>8</v>
      </c>
      <c r="C14" s="189">
        <v>47215</v>
      </c>
      <c r="D14" s="190">
        <f t="shared" si="0"/>
        <v>802238.4</v>
      </c>
      <c r="E14" s="191">
        <f t="shared" si="1"/>
        <v>37877686056</v>
      </c>
    </row>
    <row r="15" spans="1:8" x14ac:dyDescent="0.2">
      <c r="A15" s="192" t="s">
        <v>1199</v>
      </c>
      <c r="B15" s="193" t="s">
        <v>8</v>
      </c>
      <c r="C15" s="189">
        <v>21441</v>
      </c>
      <c r="D15" s="190">
        <f t="shared" si="0"/>
        <v>802238.4</v>
      </c>
      <c r="E15" s="191">
        <f t="shared" si="1"/>
        <v>17200793534.400002</v>
      </c>
    </row>
    <row r="16" spans="1:8" x14ac:dyDescent="0.2">
      <c r="A16" s="192" t="s">
        <v>1200</v>
      </c>
      <c r="B16" s="193" t="s">
        <v>1188</v>
      </c>
      <c r="C16" s="189">
        <v>5835</v>
      </c>
      <c r="D16" s="190">
        <f t="shared" si="0"/>
        <v>719690.4</v>
      </c>
      <c r="E16" s="191">
        <f t="shared" si="1"/>
        <v>4199393484</v>
      </c>
    </row>
    <row r="17" spans="1:5" x14ac:dyDescent="0.2">
      <c r="A17" s="192" t="s">
        <v>1201</v>
      </c>
      <c r="B17" s="193" t="s">
        <v>1188</v>
      </c>
      <c r="C17" s="189">
        <v>693</v>
      </c>
      <c r="D17" s="190">
        <f t="shared" si="0"/>
        <v>719690.4</v>
      </c>
      <c r="E17" s="191">
        <f t="shared" si="1"/>
        <v>498745447.19999999</v>
      </c>
    </row>
    <row r="18" spans="1:5" x14ac:dyDescent="0.2">
      <c r="A18" s="192" t="s">
        <v>1202</v>
      </c>
      <c r="B18" s="193" t="s">
        <v>1188</v>
      </c>
      <c r="C18" s="189">
        <v>16896</v>
      </c>
      <c r="D18" s="190">
        <f t="shared" si="0"/>
        <v>719690.4</v>
      </c>
      <c r="E18" s="191">
        <f t="shared" si="1"/>
        <v>12159888998.4</v>
      </c>
    </row>
    <row r="19" spans="1:5" x14ac:dyDescent="0.2">
      <c r="A19" s="192" t="s">
        <v>1203</v>
      </c>
      <c r="B19" s="193" t="s">
        <v>1188</v>
      </c>
      <c r="C19" s="189">
        <v>3281</v>
      </c>
      <c r="D19" s="190">
        <f t="shared" si="0"/>
        <v>719690.4</v>
      </c>
      <c r="E19" s="191">
        <f t="shared" si="1"/>
        <v>2361304202.4000001</v>
      </c>
    </row>
    <row r="20" spans="1:5" x14ac:dyDescent="0.2">
      <c r="A20" s="192" t="s">
        <v>1204</v>
      </c>
      <c r="B20" s="193" t="s">
        <v>9</v>
      </c>
      <c r="C20" s="189">
        <v>75045</v>
      </c>
      <c r="D20" s="190">
        <f t="shared" si="0"/>
        <v>827643.6</v>
      </c>
      <c r="E20" s="191">
        <f t="shared" si="1"/>
        <v>62110513962</v>
      </c>
    </row>
    <row r="21" spans="1:5" x14ac:dyDescent="0.2">
      <c r="A21" s="192" t="s">
        <v>1205</v>
      </c>
      <c r="B21" s="193" t="s">
        <v>1188</v>
      </c>
      <c r="C21" s="189">
        <v>3773</v>
      </c>
      <c r="D21" s="190">
        <f t="shared" si="0"/>
        <v>719690.4</v>
      </c>
      <c r="E21" s="191">
        <f t="shared" si="1"/>
        <v>2715391879.2000003</v>
      </c>
    </row>
    <row r="22" spans="1:5" x14ac:dyDescent="0.2">
      <c r="A22" s="192" t="s">
        <v>1206</v>
      </c>
      <c r="B22" s="193" t="s">
        <v>1188</v>
      </c>
      <c r="C22" s="189">
        <v>13254</v>
      </c>
      <c r="D22" s="190">
        <f t="shared" si="0"/>
        <v>719690.4</v>
      </c>
      <c r="E22" s="191">
        <f t="shared" si="1"/>
        <v>9538776561.6000004</v>
      </c>
    </row>
    <row r="23" spans="1:5" x14ac:dyDescent="0.2">
      <c r="A23" s="192" t="s">
        <v>1207</v>
      </c>
      <c r="B23" s="193" t="s">
        <v>1188</v>
      </c>
      <c r="C23" s="189">
        <v>8430</v>
      </c>
      <c r="D23" s="190">
        <f t="shared" si="0"/>
        <v>719690.4</v>
      </c>
      <c r="E23" s="191">
        <f t="shared" si="1"/>
        <v>6066990072</v>
      </c>
    </row>
    <row r="24" spans="1:5" x14ac:dyDescent="0.2">
      <c r="A24" s="192" t="s">
        <v>1208</v>
      </c>
      <c r="B24" s="193" t="s">
        <v>8</v>
      </c>
      <c r="C24" s="189">
        <v>2150</v>
      </c>
      <c r="D24" s="190">
        <f t="shared" si="0"/>
        <v>802238.4</v>
      </c>
      <c r="E24" s="191">
        <f t="shared" si="1"/>
        <v>1724812560</v>
      </c>
    </row>
    <row r="25" spans="1:5" x14ac:dyDescent="0.2">
      <c r="A25" s="192" t="s">
        <v>1209</v>
      </c>
      <c r="B25" s="193" t="s">
        <v>1188</v>
      </c>
      <c r="C25" s="189">
        <v>4366</v>
      </c>
      <c r="D25" s="190">
        <f t="shared" si="0"/>
        <v>719690.4</v>
      </c>
      <c r="E25" s="191">
        <f t="shared" si="1"/>
        <v>3142168286.4000001</v>
      </c>
    </row>
    <row r="26" spans="1:5" x14ac:dyDescent="0.2">
      <c r="A26" s="192" t="s">
        <v>1210</v>
      </c>
      <c r="B26" s="193" t="s">
        <v>8</v>
      </c>
      <c r="C26" s="189">
        <v>6222</v>
      </c>
      <c r="D26" s="190">
        <f t="shared" si="0"/>
        <v>802238.4</v>
      </c>
      <c r="E26" s="191">
        <f t="shared" si="1"/>
        <v>4991527324.8000002</v>
      </c>
    </row>
    <row r="27" spans="1:5" x14ac:dyDescent="0.2">
      <c r="A27" s="192" t="s">
        <v>1211</v>
      </c>
      <c r="B27" s="193" t="s">
        <v>1188</v>
      </c>
      <c r="C27" s="189">
        <v>16421</v>
      </c>
      <c r="D27" s="190">
        <f t="shared" si="0"/>
        <v>719690.4</v>
      </c>
      <c r="E27" s="191">
        <f t="shared" si="1"/>
        <v>11818036058.4</v>
      </c>
    </row>
    <row r="28" spans="1:5" x14ac:dyDescent="0.2">
      <c r="A28" s="192" t="s">
        <v>1212</v>
      </c>
      <c r="B28" s="193" t="s">
        <v>1188</v>
      </c>
      <c r="C28" s="189">
        <v>3632</v>
      </c>
      <c r="D28" s="190">
        <f t="shared" si="0"/>
        <v>719690.4</v>
      </c>
      <c r="E28" s="191">
        <f t="shared" si="1"/>
        <v>2613915532.8000002</v>
      </c>
    </row>
    <row r="29" spans="1:5" x14ac:dyDescent="0.2">
      <c r="A29" s="192" t="s">
        <v>1213</v>
      </c>
      <c r="B29" s="193" t="s">
        <v>1188</v>
      </c>
      <c r="C29" s="189">
        <v>11612</v>
      </c>
      <c r="D29" s="190">
        <f t="shared" si="0"/>
        <v>719690.4</v>
      </c>
      <c r="E29" s="191">
        <f t="shared" si="1"/>
        <v>8357044924.8000002</v>
      </c>
    </row>
    <row r="30" spans="1:5" x14ac:dyDescent="0.2">
      <c r="A30" s="192" t="s">
        <v>1214</v>
      </c>
      <c r="B30" s="193" t="s">
        <v>1188</v>
      </c>
      <c r="C30" s="189">
        <v>2998</v>
      </c>
      <c r="D30" s="190">
        <f t="shared" si="0"/>
        <v>719690.4</v>
      </c>
      <c r="E30" s="191">
        <f t="shared" si="1"/>
        <v>2157631819.2000003</v>
      </c>
    </row>
    <row r="31" spans="1:5" x14ac:dyDescent="0.2">
      <c r="A31" s="192" t="s">
        <v>1215</v>
      </c>
      <c r="B31" s="193" t="s">
        <v>1188</v>
      </c>
      <c r="C31" s="189">
        <v>3431</v>
      </c>
      <c r="D31" s="190">
        <f t="shared" si="0"/>
        <v>719690.4</v>
      </c>
      <c r="E31" s="191">
        <f t="shared" si="1"/>
        <v>2469257762.4000001</v>
      </c>
    </row>
    <row r="32" spans="1:5" x14ac:dyDescent="0.2">
      <c r="A32" s="187" t="s">
        <v>1216</v>
      </c>
      <c r="B32" s="188" t="s">
        <v>8</v>
      </c>
      <c r="C32" s="189">
        <v>21403</v>
      </c>
      <c r="D32" s="190">
        <f t="shared" si="0"/>
        <v>802238.4</v>
      </c>
      <c r="E32" s="191">
        <f t="shared" si="1"/>
        <v>17170308475.200001</v>
      </c>
    </row>
    <row r="33" spans="1:5" x14ac:dyDescent="0.2">
      <c r="A33" s="192" t="s">
        <v>1217</v>
      </c>
      <c r="B33" s="193" t="s">
        <v>1188</v>
      </c>
      <c r="C33" s="189">
        <v>11251</v>
      </c>
      <c r="D33" s="190">
        <f t="shared" si="0"/>
        <v>719690.4</v>
      </c>
      <c r="E33" s="191">
        <f t="shared" si="1"/>
        <v>8097236690.4000006</v>
      </c>
    </row>
    <row r="34" spans="1:5" x14ac:dyDescent="0.2">
      <c r="A34" s="187" t="s">
        <v>1218</v>
      </c>
      <c r="B34" s="188" t="s">
        <v>1188</v>
      </c>
      <c r="C34" s="189">
        <v>1591</v>
      </c>
      <c r="D34" s="190">
        <f t="shared" si="0"/>
        <v>719690.4</v>
      </c>
      <c r="E34" s="191">
        <f t="shared" si="1"/>
        <v>1145027426.4000001</v>
      </c>
    </row>
    <row r="35" spans="1:5" x14ac:dyDescent="0.2">
      <c r="A35" s="192" t="s">
        <v>1219</v>
      </c>
      <c r="B35" s="193" t="s">
        <v>1188</v>
      </c>
      <c r="C35" s="189">
        <v>26281</v>
      </c>
      <c r="D35" s="190">
        <f t="shared" ref="D35:D66" si="2">VLOOKUP(B35,$B$128:$D$132,3,0)</f>
        <v>719690.4</v>
      </c>
      <c r="E35" s="191">
        <f t="shared" si="1"/>
        <v>18914183402.400002</v>
      </c>
    </row>
    <row r="36" spans="1:5" x14ac:dyDescent="0.2">
      <c r="A36" s="187" t="s">
        <v>1220</v>
      </c>
      <c r="B36" s="188" t="s">
        <v>8</v>
      </c>
      <c r="C36" s="189">
        <v>29318</v>
      </c>
      <c r="D36" s="190">
        <f t="shared" si="2"/>
        <v>802238.4</v>
      </c>
      <c r="E36" s="191">
        <f t="shared" si="1"/>
        <v>23520025411.200001</v>
      </c>
    </row>
    <row r="37" spans="1:5" x14ac:dyDescent="0.2">
      <c r="A37" s="192" t="s">
        <v>1221</v>
      </c>
      <c r="B37" s="193" t="s">
        <v>1188</v>
      </c>
      <c r="C37" s="189">
        <v>6424</v>
      </c>
      <c r="D37" s="190">
        <f t="shared" si="2"/>
        <v>719690.4</v>
      </c>
      <c r="E37" s="191">
        <f t="shared" si="1"/>
        <v>4623291129.6000004</v>
      </c>
    </row>
    <row r="38" spans="1:5" x14ac:dyDescent="0.2">
      <c r="A38" s="187" t="s">
        <v>1222</v>
      </c>
      <c r="B38" s="188" t="s">
        <v>1188</v>
      </c>
      <c r="C38" s="189">
        <v>7852</v>
      </c>
      <c r="D38" s="190">
        <f t="shared" si="2"/>
        <v>719690.4</v>
      </c>
      <c r="E38" s="191">
        <f t="shared" si="1"/>
        <v>5651009020.8000002</v>
      </c>
    </row>
    <row r="39" spans="1:5" x14ac:dyDescent="0.2">
      <c r="A39" s="192" t="s">
        <v>1223</v>
      </c>
      <c r="B39" s="193" t="s">
        <v>1188</v>
      </c>
      <c r="C39" s="189">
        <v>2365</v>
      </c>
      <c r="D39" s="190">
        <f t="shared" si="2"/>
        <v>719690.4</v>
      </c>
      <c r="E39" s="191">
        <f t="shared" si="1"/>
        <v>1702067796</v>
      </c>
    </row>
    <row r="40" spans="1:5" x14ac:dyDescent="0.2">
      <c r="A40" s="187" t="s">
        <v>1224</v>
      </c>
      <c r="B40" s="188" t="s">
        <v>1188</v>
      </c>
      <c r="C40" s="189">
        <v>11749</v>
      </c>
      <c r="D40" s="190">
        <f t="shared" si="2"/>
        <v>719690.4</v>
      </c>
      <c r="E40" s="191">
        <f t="shared" si="1"/>
        <v>8455642509.6000004</v>
      </c>
    </row>
    <row r="41" spans="1:5" x14ac:dyDescent="0.2">
      <c r="A41" s="192" t="s">
        <v>1225</v>
      </c>
      <c r="B41" s="193" t="s">
        <v>1188</v>
      </c>
      <c r="C41" s="189">
        <v>15581</v>
      </c>
      <c r="D41" s="190">
        <f t="shared" si="2"/>
        <v>719690.4</v>
      </c>
      <c r="E41" s="191">
        <f t="shared" si="1"/>
        <v>11213496122.4</v>
      </c>
    </row>
    <row r="42" spans="1:5" x14ac:dyDescent="0.2">
      <c r="A42" s="187" t="s">
        <v>1226</v>
      </c>
      <c r="B42" s="188" t="s">
        <v>8</v>
      </c>
      <c r="C42" s="189">
        <v>0</v>
      </c>
      <c r="D42" s="190">
        <f t="shared" si="2"/>
        <v>802238.4</v>
      </c>
      <c r="E42" s="191">
        <f t="shared" si="1"/>
        <v>0</v>
      </c>
    </row>
    <row r="43" spans="1:5" x14ac:dyDescent="0.2">
      <c r="A43" s="192" t="s">
        <v>1227</v>
      </c>
      <c r="B43" s="193" t="s">
        <v>1188</v>
      </c>
      <c r="C43" s="189">
        <v>6549</v>
      </c>
      <c r="D43" s="190">
        <f t="shared" si="2"/>
        <v>719690.4</v>
      </c>
      <c r="E43" s="191">
        <f t="shared" si="1"/>
        <v>4713252429.6000004</v>
      </c>
    </row>
    <row r="44" spans="1:5" x14ac:dyDescent="0.2">
      <c r="A44" s="187" t="s">
        <v>1228</v>
      </c>
      <c r="B44" s="188" t="s">
        <v>1188</v>
      </c>
      <c r="C44" s="189">
        <v>8010</v>
      </c>
      <c r="D44" s="190">
        <f t="shared" si="2"/>
        <v>719690.4</v>
      </c>
      <c r="E44" s="191">
        <f t="shared" si="1"/>
        <v>5764720104</v>
      </c>
    </row>
    <row r="45" spans="1:5" x14ac:dyDescent="0.2">
      <c r="A45" s="192" t="s">
        <v>1229</v>
      </c>
      <c r="B45" s="193" t="s">
        <v>8</v>
      </c>
      <c r="C45" s="189">
        <v>2551</v>
      </c>
      <c r="D45" s="190">
        <f t="shared" si="2"/>
        <v>802238.4</v>
      </c>
      <c r="E45" s="191">
        <f t="shared" si="1"/>
        <v>2046510158.4000001</v>
      </c>
    </row>
    <row r="46" spans="1:5" x14ac:dyDescent="0.2">
      <c r="A46" s="187" t="s">
        <v>1230</v>
      </c>
      <c r="B46" s="188" t="s">
        <v>1188</v>
      </c>
      <c r="C46" s="189">
        <v>2559</v>
      </c>
      <c r="D46" s="190">
        <f t="shared" si="2"/>
        <v>719690.4</v>
      </c>
      <c r="E46" s="191">
        <f t="shared" si="1"/>
        <v>1841687733.6000001</v>
      </c>
    </row>
    <row r="47" spans="1:5" x14ac:dyDescent="0.2">
      <c r="A47" s="192" t="s">
        <v>1231</v>
      </c>
      <c r="B47" s="193" t="s">
        <v>1188</v>
      </c>
      <c r="C47" s="189">
        <v>18137</v>
      </c>
      <c r="D47" s="190">
        <f t="shared" si="2"/>
        <v>719690.4</v>
      </c>
      <c r="E47" s="191">
        <f t="shared" si="1"/>
        <v>13053024784.800001</v>
      </c>
    </row>
    <row r="48" spans="1:5" x14ac:dyDescent="0.2">
      <c r="A48" s="187" t="s">
        <v>1232</v>
      </c>
      <c r="B48" s="188" t="s">
        <v>1188</v>
      </c>
      <c r="C48" s="189">
        <v>7014</v>
      </c>
      <c r="D48" s="190">
        <f t="shared" si="2"/>
        <v>719690.4</v>
      </c>
      <c r="E48" s="191">
        <f t="shared" si="1"/>
        <v>5047908465.6000004</v>
      </c>
    </row>
    <row r="49" spans="1:5" x14ac:dyDescent="0.2">
      <c r="A49" s="192" t="s">
        <v>1233</v>
      </c>
      <c r="B49" s="193" t="s">
        <v>1188</v>
      </c>
      <c r="C49" s="189">
        <v>3180</v>
      </c>
      <c r="D49" s="190">
        <f t="shared" si="2"/>
        <v>719690.4</v>
      </c>
      <c r="E49" s="191">
        <f t="shared" si="1"/>
        <v>2288615472</v>
      </c>
    </row>
    <row r="50" spans="1:5" x14ac:dyDescent="0.2">
      <c r="A50" s="187" t="s">
        <v>1234</v>
      </c>
      <c r="B50" s="188" t="s">
        <v>1188</v>
      </c>
      <c r="C50" s="189">
        <v>11</v>
      </c>
      <c r="D50" s="190">
        <f t="shared" si="2"/>
        <v>719690.4</v>
      </c>
      <c r="E50" s="191">
        <f t="shared" si="1"/>
        <v>7916594.4000000004</v>
      </c>
    </row>
    <row r="51" spans="1:5" x14ac:dyDescent="0.2">
      <c r="A51" s="192" t="s">
        <v>1235</v>
      </c>
      <c r="B51" s="193" t="s">
        <v>1188</v>
      </c>
      <c r="C51" s="189">
        <v>11829</v>
      </c>
      <c r="D51" s="190">
        <f t="shared" si="2"/>
        <v>719690.4</v>
      </c>
      <c r="E51" s="191">
        <f t="shared" si="1"/>
        <v>8513217741.6000004</v>
      </c>
    </row>
    <row r="52" spans="1:5" x14ac:dyDescent="0.2">
      <c r="A52" s="187" t="s">
        <v>1236</v>
      </c>
      <c r="B52" s="188" t="s">
        <v>1188</v>
      </c>
      <c r="C52" s="189">
        <v>4904</v>
      </c>
      <c r="D52" s="190">
        <f t="shared" si="2"/>
        <v>719690.4</v>
      </c>
      <c r="E52" s="191">
        <f t="shared" si="1"/>
        <v>3529361721.5999999</v>
      </c>
    </row>
    <row r="53" spans="1:5" x14ac:dyDescent="0.2">
      <c r="A53" s="192" t="s">
        <v>1237</v>
      </c>
      <c r="B53" s="193" t="s">
        <v>1188</v>
      </c>
      <c r="C53" s="189">
        <v>4256</v>
      </c>
      <c r="D53" s="190">
        <f t="shared" si="2"/>
        <v>719690.4</v>
      </c>
      <c r="E53" s="191">
        <f t="shared" si="1"/>
        <v>3063002342.4000001</v>
      </c>
    </row>
    <row r="54" spans="1:5" x14ac:dyDescent="0.2">
      <c r="A54" s="187" t="s">
        <v>1238</v>
      </c>
      <c r="B54" s="188" t="s">
        <v>1188</v>
      </c>
      <c r="C54" s="189">
        <v>2994</v>
      </c>
      <c r="D54" s="190">
        <f t="shared" si="2"/>
        <v>719690.4</v>
      </c>
      <c r="E54" s="191">
        <f t="shared" si="1"/>
        <v>2154753057.5999999</v>
      </c>
    </row>
    <row r="55" spans="1:5" x14ac:dyDescent="0.2">
      <c r="A55" s="192" t="s">
        <v>1239</v>
      </c>
      <c r="B55" s="193" t="s">
        <v>1188</v>
      </c>
      <c r="C55" s="189">
        <v>9931</v>
      </c>
      <c r="D55" s="190">
        <f t="shared" si="2"/>
        <v>719690.4</v>
      </c>
      <c r="E55" s="191">
        <f t="shared" si="1"/>
        <v>7147245362.4000006</v>
      </c>
    </row>
    <row r="56" spans="1:5" x14ac:dyDescent="0.2">
      <c r="A56" s="187" t="s">
        <v>1240</v>
      </c>
      <c r="B56" s="188" t="s">
        <v>1188</v>
      </c>
      <c r="C56" s="189">
        <v>2516</v>
      </c>
      <c r="D56" s="190">
        <f t="shared" si="2"/>
        <v>719690.4</v>
      </c>
      <c r="E56" s="191">
        <f t="shared" si="1"/>
        <v>1810741046.4000001</v>
      </c>
    </row>
    <row r="57" spans="1:5" x14ac:dyDescent="0.2">
      <c r="A57" s="192" t="s">
        <v>1241</v>
      </c>
      <c r="B57" s="193" t="s">
        <v>1188</v>
      </c>
      <c r="C57" s="189">
        <v>2882</v>
      </c>
      <c r="D57" s="190">
        <f t="shared" si="2"/>
        <v>719690.4</v>
      </c>
      <c r="E57" s="191">
        <f t="shared" si="1"/>
        <v>2074147732.8</v>
      </c>
    </row>
    <row r="58" spans="1:5" x14ac:dyDescent="0.2">
      <c r="A58" s="187" t="s">
        <v>1242</v>
      </c>
      <c r="B58" s="188" t="s">
        <v>1188</v>
      </c>
      <c r="C58" s="189">
        <v>332</v>
      </c>
      <c r="D58" s="190">
        <f t="shared" si="2"/>
        <v>719690.4</v>
      </c>
      <c r="E58" s="191">
        <f t="shared" si="1"/>
        <v>238937212.80000001</v>
      </c>
    </row>
    <row r="59" spans="1:5" x14ac:dyDescent="0.2">
      <c r="A59" s="192" t="s">
        <v>1243</v>
      </c>
      <c r="B59" s="193" t="s">
        <v>9</v>
      </c>
      <c r="C59" s="189">
        <v>40792</v>
      </c>
      <c r="D59" s="190">
        <f t="shared" si="2"/>
        <v>827643.6</v>
      </c>
      <c r="E59" s="191">
        <f t="shared" si="1"/>
        <v>33761237731.200001</v>
      </c>
    </row>
    <row r="60" spans="1:5" x14ac:dyDescent="0.2">
      <c r="A60" s="187" t="s">
        <v>1244</v>
      </c>
      <c r="B60" s="188" t="s">
        <v>8</v>
      </c>
      <c r="C60" s="189">
        <v>19473</v>
      </c>
      <c r="D60" s="190">
        <f t="shared" si="2"/>
        <v>802238.4</v>
      </c>
      <c r="E60" s="191">
        <f t="shared" si="1"/>
        <v>15621988363.200001</v>
      </c>
    </row>
    <row r="61" spans="1:5" x14ac:dyDescent="0.2">
      <c r="A61" s="192" t="s">
        <v>1245</v>
      </c>
      <c r="B61" s="193" t="s">
        <v>1188</v>
      </c>
      <c r="C61" s="189">
        <v>7718</v>
      </c>
      <c r="D61" s="190">
        <f t="shared" si="2"/>
        <v>719690.4</v>
      </c>
      <c r="E61" s="191">
        <f t="shared" si="1"/>
        <v>5554570507.1999998</v>
      </c>
    </row>
    <row r="62" spans="1:5" x14ac:dyDescent="0.2">
      <c r="A62" s="187" t="s">
        <v>1246</v>
      </c>
      <c r="B62" s="188" t="s">
        <v>1188</v>
      </c>
      <c r="C62" s="189">
        <v>5</v>
      </c>
      <c r="D62" s="190">
        <f t="shared" si="2"/>
        <v>719690.4</v>
      </c>
      <c r="E62" s="191">
        <f t="shared" si="1"/>
        <v>3598452</v>
      </c>
    </row>
    <row r="63" spans="1:5" x14ac:dyDescent="0.2">
      <c r="A63" s="192" t="s">
        <v>1247</v>
      </c>
      <c r="B63" s="193" t="s">
        <v>1188</v>
      </c>
      <c r="C63" s="189">
        <v>3551</v>
      </c>
      <c r="D63" s="190">
        <f t="shared" si="2"/>
        <v>719690.4</v>
      </c>
      <c r="E63" s="191">
        <f t="shared" si="1"/>
        <v>2555620610.4000001</v>
      </c>
    </row>
    <row r="64" spans="1:5" x14ac:dyDescent="0.2">
      <c r="A64" s="192" t="s">
        <v>1248</v>
      </c>
      <c r="B64" s="193" t="s">
        <v>1188</v>
      </c>
      <c r="C64" s="189">
        <v>7879</v>
      </c>
      <c r="D64" s="190">
        <f t="shared" si="2"/>
        <v>719690.4</v>
      </c>
      <c r="E64" s="191">
        <f t="shared" si="1"/>
        <v>5670440661.6000004</v>
      </c>
    </row>
    <row r="65" spans="1:5" x14ac:dyDescent="0.2">
      <c r="A65" s="192" t="s">
        <v>1249</v>
      </c>
      <c r="B65" s="193" t="s">
        <v>1188</v>
      </c>
      <c r="C65" s="189">
        <v>4209</v>
      </c>
      <c r="D65" s="190">
        <f t="shared" si="2"/>
        <v>719690.4</v>
      </c>
      <c r="E65" s="191">
        <f t="shared" si="1"/>
        <v>3029176893.5999999</v>
      </c>
    </row>
    <row r="66" spans="1:5" x14ac:dyDescent="0.2">
      <c r="A66" s="187" t="s">
        <v>1250</v>
      </c>
      <c r="B66" s="188" t="s">
        <v>1188</v>
      </c>
      <c r="C66" s="189">
        <v>5389</v>
      </c>
      <c r="D66" s="190">
        <f t="shared" si="2"/>
        <v>719690.4</v>
      </c>
      <c r="E66" s="191">
        <f t="shared" si="1"/>
        <v>3878411565.5999999</v>
      </c>
    </row>
    <row r="67" spans="1:5" x14ac:dyDescent="0.2">
      <c r="A67" s="192" t="s">
        <v>1251</v>
      </c>
      <c r="B67" s="193" t="s">
        <v>1188</v>
      </c>
      <c r="C67" s="189">
        <v>5674</v>
      </c>
      <c r="D67" s="190">
        <f t="shared" ref="D67:D98" si="3">VLOOKUP(B67,$B$128:$D$132,3,0)</f>
        <v>719690.4</v>
      </c>
      <c r="E67" s="191">
        <f t="shared" si="1"/>
        <v>4083523329.5999999</v>
      </c>
    </row>
    <row r="68" spans="1:5" x14ac:dyDescent="0.2">
      <c r="A68" s="187" t="s">
        <v>1252</v>
      </c>
      <c r="B68" s="188" t="s">
        <v>1188</v>
      </c>
      <c r="C68" s="189">
        <v>6002</v>
      </c>
      <c r="D68" s="190">
        <f t="shared" si="3"/>
        <v>719690.4</v>
      </c>
      <c r="E68" s="191">
        <f t="shared" ref="E68:E122" si="4">C68*D68</f>
        <v>4319581780.8000002</v>
      </c>
    </row>
    <row r="69" spans="1:5" x14ac:dyDescent="0.2">
      <c r="A69" s="187" t="s">
        <v>1253</v>
      </c>
      <c r="B69" s="188" t="s">
        <v>1188</v>
      </c>
      <c r="C69" s="189">
        <v>14535</v>
      </c>
      <c r="D69" s="190">
        <f t="shared" si="3"/>
        <v>719690.4</v>
      </c>
      <c r="E69" s="191">
        <f t="shared" si="4"/>
        <v>10460699964</v>
      </c>
    </row>
    <row r="70" spans="1:5" x14ac:dyDescent="0.2">
      <c r="A70" s="187" t="s">
        <v>1254</v>
      </c>
      <c r="B70" s="188" t="s">
        <v>1188</v>
      </c>
      <c r="C70" s="189"/>
      <c r="D70" s="190">
        <f t="shared" si="3"/>
        <v>719690.4</v>
      </c>
      <c r="E70" s="191">
        <f t="shared" si="4"/>
        <v>0</v>
      </c>
    </row>
    <row r="71" spans="1:5" x14ac:dyDescent="0.2">
      <c r="A71" s="192" t="s">
        <v>1255</v>
      </c>
      <c r="B71" s="193" t="s">
        <v>8</v>
      </c>
      <c r="C71" s="189">
        <v>2058</v>
      </c>
      <c r="D71" s="190">
        <f t="shared" si="3"/>
        <v>802238.4</v>
      </c>
      <c r="E71" s="191">
        <f t="shared" si="4"/>
        <v>1651006627.2</v>
      </c>
    </row>
    <row r="72" spans="1:5" x14ac:dyDescent="0.2">
      <c r="A72" s="187" t="s">
        <v>1256</v>
      </c>
      <c r="B72" s="188" t="s">
        <v>8</v>
      </c>
      <c r="C72" s="189">
        <v>12596</v>
      </c>
      <c r="D72" s="190">
        <f t="shared" si="3"/>
        <v>802238.4</v>
      </c>
      <c r="E72" s="191">
        <f t="shared" si="4"/>
        <v>10104994886.4</v>
      </c>
    </row>
    <row r="73" spans="1:5" x14ac:dyDescent="0.2">
      <c r="A73" s="192" t="s">
        <v>1257</v>
      </c>
      <c r="B73" s="193" t="s">
        <v>1188</v>
      </c>
      <c r="C73" s="189">
        <v>7980</v>
      </c>
      <c r="D73" s="190">
        <f t="shared" si="3"/>
        <v>719690.4</v>
      </c>
      <c r="E73" s="191">
        <f t="shared" si="4"/>
        <v>5743129392</v>
      </c>
    </row>
    <row r="74" spans="1:5" x14ac:dyDescent="0.2">
      <c r="A74" s="187" t="s">
        <v>1258</v>
      </c>
      <c r="B74" s="188" t="s">
        <v>8</v>
      </c>
      <c r="C74" s="189">
        <v>18735</v>
      </c>
      <c r="D74" s="190">
        <f t="shared" si="3"/>
        <v>802238.4</v>
      </c>
      <c r="E74" s="191">
        <f t="shared" si="4"/>
        <v>15029936424</v>
      </c>
    </row>
    <row r="75" spans="1:5" x14ac:dyDescent="0.2">
      <c r="A75" s="192" t="s">
        <v>1259</v>
      </c>
      <c r="B75" s="193" t="s">
        <v>1188</v>
      </c>
      <c r="C75" s="189">
        <v>1896</v>
      </c>
      <c r="D75" s="190">
        <f t="shared" si="3"/>
        <v>719690.4</v>
      </c>
      <c r="E75" s="191">
        <f t="shared" si="4"/>
        <v>1364532998.4000001</v>
      </c>
    </row>
    <row r="76" spans="1:5" x14ac:dyDescent="0.2">
      <c r="A76" s="187" t="s">
        <v>1260</v>
      </c>
      <c r="B76" s="188" t="s">
        <v>1188</v>
      </c>
      <c r="C76" s="189">
        <v>6994</v>
      </c>
      <c r="D76" s="190">
        <f t="shared" si="3"/>
        <v>719690.4</v>
      </c>
      <c r="E76" s="191">
        <f t="shared" si="4"/>
        <v>5033514657.6000004</v>
      </c>
    </row>
    <row r="77" spans="1:5" x14ac:dyDescent="0.2">
      <c r="A77" s="192" t="s">
        <v>1261</v>
      </c>
      <c r="B77" s="193" t="s">
        <v>8</v>
      </c>
      <c r="C77" s="189">
        <v>1779</v>
      </c>
      <c r="D77" s="190">
        <f t="shared" si="3"/>
        <v>802238.4</v>
      </c>
      <c r="E77" s="191">
        <f t="shared" si="4"/>
        <v>1427182113.6000001</v>
      </c>
    </row>
    <row r="78" spans="1:5" x14ac:dyDescent="0.2">
      <c r="A78" s="187" t="s">
        <v>1262</v>
      </c>
      <c r="B78" s="188" t="s">
        <v>1188</v>
      </c>
      <c r="C78" s="189">
        <v>916</v>
      </c>
      <c r="D78" s="190">
        <f t="shared" si="3"/>
        <v>719690.4</v>
      </c>
      <c r="E78" s="191">
        <f t="shared" si="4"/>
        <v>659236406.39999998</v>
      </c>
    </row>
    <row r="79" spans="1:5" x14ac:dyDescent="0.2">
      <c r="A79" s="192" t="s">
        <v>1263</v>
      </c>
      <c r="B79" s="193" t="s">
        <v>1188</v>
      </c>
      <c r="C79" s="189">
        <v>22269</v>
      </c>
      <c r="D79" s="190">
        <f t="shared" si="3"/>
        <v>719690.4</v>
      </c>
      <c r="E79" s="191">
        <f t="shared" si="4"/>
        <v>16026785517.6</v>
      </c>
    </row>
    <row r="80" spans="1:5" x14ac:dyDescent="0.2">
      <c r="A80" s="187" t="s">
        <v>1264</v>
      </c>
      <c r="B80" s="188" t="s">
        <v>1188</v>
      </c>
      <c r="C80" s="189">
        <v>5749</v>
      </c>
      <c r="D80" s="190">
        <f t="shared" si="3"/>
        <v>719690.4</v>
      </c>
      <c r="E80" s="191">
        <f t="shared" si="4"/>
        <v>4137500109.5999999</v>
      </c>
    </row>
    <row r="81" spans="1:5" x14ac:dyDescent="0.2">
      <c r="A81" s="192" t="s">
        <v>1265</v>
      </c>
      <c r="B81" s="193" t="s">
        <v>8</v>
      </c>
      <c r="C81" s="189">
        <v>6937</v>
      </c>
      <c r="D81" s="190">
        <f t="shared" si="3"/>
        <v>802238.4</v>
      </c>
      <c r="E81" s="191">
        <f t="shared" si="4"/>
        <v>5565127780.8000002</v>
      </c>
    </row>
    <row r="82" spans="1:5" x14ac:dyDescent="0.2">
      <c r="A82" s="187" t="s">
        <v>1266</v>
      </c>
      <c r="B82" s="188" t="s">
        <v>8</v>
      </c>
      <c r="C82" s="189">
        <v>2906</v>
      </c>
      <c r="D82" s="190">
        <f t="shared" si="3"/>
        <v>802238.4</v>
      </c>
      <c r="E82" s="191">
        <f t="shared" si="4"/>
        <v>2331304790.4000001</v>
      </c>
    </row>
    <row r="83" spans="1:5" x14ac:dyDescent="0.2">
      <c r="A83" s="192" t="s">
        <v>1267</v>
      </c>
      <c r="B83" s="193" t="s">
        <v>1188</v>
      </c>
      <c r="C83" s="189">
        <v>3477</v>
      </c>
      <c r="D83" s="190">
        <f t="shared" si="3"/>
        <v>719690.4</v>
      </c>
      <c r="E83" s="191">
        <f t="shared" si="4"/>
        <v>2502363520.8000002</v>
      </c>
    </row>
    <row r="84" spans="1:5" x14ac:dyDescent="0.2">
      <c r="A84" s="187" t="s">
        <v>1268</v>
      </c>
      <c r="B84" s="188" t="s">
        <v>1188</v>
      </c>
      <c r="C84" s="189">
        <v>15648</v>
      </c>
      <c r="D84" s="190">
        <f t="shared" si="3"/>
        <v>719690.4</v>
      </c>
      <c r="E84" s="191">
        <f t="shared" si="4"/>
        <v>11261715379.200001</v>
      </c>
    </row>
    <row r="85" spans="1:5" x14ac:dyDescent="0.2">
      <c r="A85" s="192" t="s">
        <v>1269</v>
      </c>
      <c r="B85" s="193" t="s">
        <v>1188</v>
      </c>
      <c r="C85" s="189">
        <v>6172</v>
      </c>
      <c r="D85" s="190">
        <f t="shared" si="3"/>
        <v>719690.4</v>
      </c>
      <c r="E85" s="191">
        <f t="shared" si="4"/>
        <v>4441929148.8000002</v>
      </c>
    </row>
    <row r="86" spans="1:5" x14ac:dyDescent="0.2">
      <c r="A86" s="187" t="s">
        <v>1270</v>
      </c>
      <c r="B86" s="188" t="s">
        <v>1188</v>
      </c>
      <c r="C86" s="189">
        <v>4810</v>
      </c>
      <c r="D86" s="190">
        <f t="shared" si="3"/>
        <v>719690.4</v>
      </c>
      <c r="E86" s="191">
        <f t="shared" si="4"/>
        <v>3461710824</v>
      </c>
    </row>
    <row r="87" spans="1:5" x14ac:dyDescent="0.2">
      <c r="A87" s="192" t="s">
        <v>1271</v>
      </c>
      <c r="B87" s="193" t="s">
        <v>1188</v>
      </c>
      <c r="C87" s="189">
        <v>6409</v>
      </c>
      <c r="D87" s="190">
        <f t="shared" si="3"/>
        <v>719690.4</v>
      </c>
      <c r="E87" s="191">
        <f t="shared" si="4"/>
        <v>4612495773.6000004</v>
      </c>
    </row>
    <row r="88" spans="1:5" x14ac:dyDescent="0.2">
      <c r="A88" s="192" t="s">
        <v>1272</v>
      </c>
      <c r="B88" s="193" t="s">
        <v>1188</v>
      </c>
      <c r="C88" s="189">
        <v>3560</v>
      </c>
      <c r="D88" s="190">
        <f t="shared" si="3"/>
        <v>719690.4</v>
      </c>
      <c r="E88" s="191">
        <f t="shared" si="4"/>
        <v>2562097824</v>
      </c>
    </row>
    <row r="89" spans="1:5" x14ac:dyDescent="0.2">
      <c r="A89" s="192" t="s">
        <v>1273</v>
      </c>
      <c r="B89" s="193" t="s">
        <v>1188</v>
      </c>
      <c r="C89" s="189">
        <v>5894</v>
      </c>
      <c r="D89" s="190">
        <f t="shared" si="3"/>
        <v>719690.4</v>
      </c>
      <c r="E89" s="191">
        <f t="shared" si="4"/>
        <v>4241855217.5999999</v>
      </c>
    </row>
    <row r="90" spans="1:5" x14ac:dyDescent="0.2">
      <c r="A90" s="187" t="s">
        <v>1274</v>
      </c>
      <c r="B90" s="188" t="s">
        <v>1188</v>
      </c>
      <c r="C90" s="189">
        <v>4883</v>
      </c>
      <c r="D90" s="190">
        <f t="shared" si="3"/>
        <v>719690.4</v>
      </c>
      <c r="E90" s="191">
        <f t="shared" si="4"/>
        <v>3514248223.2000003</v>
      </c>
    </row>
    <row r="91" spans="1:5" x14ac:dyDescent="0.2">
      <c r="A91" s="192" t="s">
        <v>1275</v>
      </c>
      <c r="B91" s="193" t="s">
        <v>1188</v>
      </c>
      <c r="C91" s="189">
        <v>1838</v>
      </c>
      <c r="D91" s="190">
        <f t="shared" si="3"/>
        <v>719690.4</v>
      </c>
      <c r="E91" s="191">
        <f t="shared" si="4"/>
        <v>1322790955.2</v>
      </c>
    </row>
    <row r="92" spans="1:5" x14ac:dyDescent="0.2">
      <c r="A92" s="192" t="s">
        <v>1276</v>
      </c>
      <c r="B92" s="193" t="s">
        <v>1188</v>
      </c>
      <c r="C92" s="189">
        <v>1626</v>
      </c>
      <c r="D92" s="190">
        <f t="shared" si="3"/>
        <v>719690.4</v>
      </c>
      <c r="E92" s="191">
        <f t="shared" si="4"/>
        <v>1170216590.4000001</v>
      </c>
    </row>
    <row r="93" spans="1:5" x14ac:dyDescent="0.2">
      <c r="A93" s="192" t="s">
        <v>1277</v>
      </c>
      <c r="B93" s="193" t="s">
        <v>8</v>
      </c>
      <c r="C93" s="189">
        <v>16665</v>
      </c>
      <c r="D93" s="190">
        <f t="shared" si="3"/>
        <v>802238.4</v>
      </c>
      <c r="E93" s="191">
        <f t="shared" si="4"/>
        <v>13369302936</v>
      </c>
    </row>
    <row r="94" spans="1:5" x14ac:dyDescent="0.2">
      <c r="A94" s="187" t="s">
        <v>1278</v>
      </c>
      <c r="B94" s="188" t="s">
        <v>1188</v>
      </c>
      <c r="C94" s="189">
        <v>9090</v>
      </c>
      <c r="D94" s="190">
        <f t="shared" si="3"/>
        <v>719690.4</v>
      </c>
      <c r="E94" s="191">
        <f t="shared" si="4"/>
        <v>6541985736</v>
      </c>
    </row>
    <row r="95" spans="1:5" x14ac:dyDescent="0.2">
      <c r="A95" s="192" t="s">
        <v>1279</v>
      </c>
      <c r="B95" s="193" t="s">
        <v>1188</v>
      </c>
      <c r="C95" s="189">
        <v>9102</v>
      </c>
      <c r="D95" s="190">
        <f t="shared" si="3"/>
        <v>719690.4</v>
      </c>
      <c r="E95" s="191">
        <f t="shared" si="4"/>
        <v>6550622020.8000002</v>
      </c>
    </row>
    <row r="96" spans="1:5" x14ac:dyDescent="0.2">
      <c r="A96" s="192" t="s">
        <v>1280</v>
      </c>
      <c r="B96" s="193" t="s">
        <v>8</v>
      </c>
      <c r="C96" s="189">
        <v>28264</v>
      </c>
      <c r="D96" s="190">
        <f t="shared" si="3"/>
        <v>802238.4</v>
      </c>
      <c r="E96" s="191">
        <f t="shared" si="4"/>
        <v>22674466137.600002</v>
      </c>
    </row>
    <row r="97" spans="1:5" x14ac:dyDescent="0.2">
      <c r="A97" s="192" t="s">
        <v>1281</v>
      </c>
      <c r="B97" s="193" t="s">
        <v>1188</v>
      </c>
      <c r="C97" s="189">
        <v>8474</v>
      </c>
      <c r="D97" s="190">
        <f t="shared" si="3"/>
        <v>719690.4</v>
      </c>
      <c r="E97" s="191">
        <f t="shared" si="4"/>
        <v>6098656449.6000004</v>
      </c>
    </row>
    <row r="98" spans="1:5" x14ac:dyDescent="0.2">
      <c r="A98" s="187" t="s">
        <v>1282</v>
      </c>
      <c r="B98" s="188" t="s">
        <v>1188</v>
      </c>
      <c r="C98" s="189">
        <v>12330</v>
      </c>
      <c r="D98" s="190">
        <f t="shared" si="3"/>
        <v>719690.4</v>
      </c>
      <c r="E98" s="191">
        <f t="shared" si="4"/>
        <v>8873782632</v>
      </c>
    </row>
    <row r="99" spans="1:5" x14ac:dyDescent="0.2">
      <c r="A99" s="192" t="s">
        <v>1283</v>
      </c>
      <c r="B99" s="193" t="s">
        <v>1188</v>
      </c>
      <c r="C99" s="189">
        <v>12068</v>
      </c>
      <c r="D99" s="190">
        <f t="shared" ref="D99:D123" si="5">VLOOKUP(B99,$B$128:$D$132,3,0)</f>
        <v>719690.4</v>
      </c>
      <c r="E99" s="191">
        <f t="shared" si="4"/>
        <v>8685223747.2000008</v>
      </c>
    </row>
    <row r="100" spans="1:5" x14ac:dyDescent="0.2">
      <c r="A100" s="187" t="s">
        <v>1284</v>
      </c>
      <c r="B100" s="188" t="s">
        <v>1188</v>
      </c>
      <c r="C100" s="189">
        <v>8124</v>
      </c>
      <c r="D100" s="190">
        <f t="shared" si="5"/>
        <v>719690.4</v>
      </c>
      <c r="E100" s="191">
        <f t="shared" si="4"/>
        <v>5846764809.6000004</v>
      </c>
    </row>
    <row r="101" spans="1:5" x14ac:dyDescent="0.2">
      <c r="A101" s="192" t="s">
        <v>1285</v>
      </c>
      <c r="B101" s="193" t="s">
        <v>1188</v>
      </c>
      <c r="C101" s="189">
        <v>15674</v>
      </c>
      <c r="D101" s="190">
        <f t="shared" si="5"/>
        <v>719690.4</v>
      </c>
      <c r="E101" s="191">
        <f t="shared" si="4"/>
        <v>11280427329.6</v>
      </c>
    </row>
    <row r="102" spans="1:5" x14ac:dyDescent="0.2">
      <c r="A102" s="187" t="s">
        <v>1286</v>
      </c>
      <c r="B102" s="188" t="s">
        <v>1188</v>
      </c>
      <c r="C102" s="189">
        <v>6424</v>
      </c>
      <c r="D102" s="190">
        <f t="shared" si="5"/>
        <v>719690.4</v>
      </c>
      <c r="E102" s="191">
        <f t="shared" si="4"/>
        <v>4623291129.6000004</v>
      </c>
    </row>
    <row r="103" spans="1:5" x14ac:dyDescent="0.2">
      <c r="A103" s="192" t="s">
        <v>1287</v>
      </c>
      <c r="B103" s="193" t="s">
        <v>1188</v>
      </c>
      <c r="C103" s="189">
        <v>11909</v>
      </c>
      <c r="D103" s="190">
        <f t="shared" si="5"/>
        <v>719690.4</v>
      </c>
      <c r="E103" s="191">
        <f t="shared" si="4"/>
        <v>8570792973.6000004</v>
      </c>
    </row>
    <row r="104" spans="1:5" x14ac:dyDescent="0.2">
      <c r="A104" s="187" t="s">
        <v>1288</v>
      </c>
      <c r="B104" s="188" t="s">
        <v>1188</v>
      </c>
      <c r="C104" s="189">
        <v>5089</v>
      </c>
      <c r="D104" s="190">
        <f t="shared" si="5"/>
        <v>719690.4</v>
      </c>
      <c r="E104" s="191">
        <f t="shared" si="4"/>
        <v>3662504445.5999999</v>
      </c>
    </row>
    <row r="105" spans="1:5" x14ac:dyDescent="0.2">
      <c r="A105" s="192" t="s">
        <v>1289</v>
      </c>
      <c r="B105" s="193" t="s">
        <v>1188</v>
      </c>
      <c r="C105" s="189">
        <v>21444</v>
      </c>
      <c r="D105" s="190">
        <f t="shared" si="5"/>
        <v>719690.4</v>
      </c>
      <c r="E105" s="191">
        <f t="shared" si="4"/>
        <v>15433040937.6</v>
      </c>
    </row>
    <row r="106" spans="1:5" x14ac:dyDescent="0.2">
      <c r="A106" s="187" t="s">
        <v>1290</v>
      </c>
      <c r="B106" s="188" t="s">
        <v>1188</v>
      </c>
      <c r="C106" s="189">
        <v>4715</v>
      </c>
      <c r="D106" s="190">
        <f t="shared" si="5"/>
        <v>719690.4</v>
      </c>
      <c r="E106" s="191">
        <f t="shared" si="4"/>
        <v>3393340236</v>
      </c>
    </row>
    <row r="107" spans="1:5" x14ac:dyDescent="0.2">
      <c r="A107" s="192" t="s">
        <v>1291</v>
      </c>
      <c r="B107" s="193" t="s">
        <v>1188</v>
      </c>
      <c r="C107" s="189">
        <v>936</v>
      </c>
      <c r="D107" s="190">
        <f t="shared" si="5"/>
        <v>719690.4</v>
      </c>
      <c r="E107" s="191">
        <f t="shared" si="4"/>
        <v>673630214.39999998</v>
      </c>
    </row>
    <row r="108" spans="1:5" x14ac:dyDescent="0.2">
      <c r="A108" s="187" t="s">
        <v>1292</v>
      </c>
      <c r="B108" s="188" t="s">
        <v>8</v>
      </c>
      <c r="C108" s="189">
        <v>8211</v>
      </c>
      <c r="D108" s="190">
        <f t="shared" si="5"/>
        <v>802238.4</v>
      </c>
      <c r="E108" s="191">
        <f t="shared" si="4"/>
        <v>6587179502.4000006</v>
      </c>
    </row>
    <row r="109" spans="1:5" x14ac:dyDescent="0.2">
      <c r="A109" s="192" t="s">
        <v>1293</v>
      </c>
      <c r="B109" s="193" t="s">
        <v>1188</v>
      </c>
      <c r="C109" s="189">
        <v>3340</v>
      </c>
      <c r="D109" s="190">
        <f t="shared" si="5"/>
        <v>719690.4</v>
      </c>
      <c r="E109" s="191">
        <f t="shared" si="4"/>
        <v>2403765936</v>
      </c>
    </row>
    <row r="110" spans="1:5" x14ac:dyDescent="0.2">
      <c r="A110" s="187" t="s">
        <v>1294</v>
      </c>
      <c r="B110" s="188" t="s">
        <v>1188</v>
      </c>
      <c r="C110" s="189">
        <v>3255</v>
      </c>
      <c r="D110" s="190">
        <f t="shared" si="5"/>
        <v>719690.4</v>
      </c>
      <c r="E110" s="191">
        <f t="shared" si="4"/>
        <v>2342592252</v>
      </c>
    </row>
    <row r="111" spans="1:5" x14ac:dyDescent="0.2">
      <c r="A111" s="192" t="s">
        <v>1295</v>
      </c>
      <c r="B111" s="193" t="s">
        <v>8</v>
      </c>
      <c r="C111" s="189">
        <v>2971</v>
      </c>
      <c r="D111" s="190">
        <f t="shared" si="5"/>
        <v>802238.4</v>
      </c>
      <c r="E111" s="191">
        <f t="shared" si="4"/>
        <v>2383450286.4000001</v>
      </c>
    </row>
    <row r="112" spans="1:5" x14ac:dyDescent="0.2">
      <c r="A112" s="187" t="s">
        <v>1296</v>
      </c>
      <c r="B112" s="188" t="s">
        <v>8</v>
      </c>
      <c r="C112" s="189">
        <v>36188</v>
      </c>
      <c r="D112" s="190">
        <f t="shared" si="5"/>
        <v>802238.4</v>
      </c>
      <c r="E112" s="191">
        <f t="shared" si="4"/>
        <v>29031403219.200001</v>
      </c>
    </row>
    <row r="113" spans="1:6" x14ac:dyDescent="0.2">
      <c r="A113" s="192" t="s">
        <v>1297</v>
      </c>
      <c r="B113" s="193" t="s">
        <v>1188</v>
      </c>
      <c r="C113" s="189">
        <v>19094</v>
      </c>
      <c r="D113" s="190">
        <f t="shared" si="5"/>
        <v>719690.4</v>
      </c>
      <c r="E113" s="191">
        <f t="shared" si="4"/>
        <v>13741768497.6</v>
      </c>
    </row>
    <row r="114" spans="1:6" x14ac:dyDescent="0.2">
      <c r="A114" s="187" t="s">
        <v>1298</v>
      </c>
      <c r="B114" s="188" t="s">
        <v>1188</v>
      </c>
      <c r="C114" s="189">
        <v>2508</v>
      </c>
      <c r="D114" s="190">
        <f t="shared" si="5"/>
        <v>719690.4</v>
      </c>
      <c r="E114" s="191">
        <f t="shared" si="4"/>
        <v>1804983523.2</v>
      </c>
    </row>
    <row r="115" spans="1:6" x14ac:dyDescent="0.2">
      <c r="A115" s="192" t="s">
        <v>1299</v>
      </c>
      <c r="B115" s="193" t="s">
        <v>1188</v>
      </c>
      <c r="C115" s="189">
        <v>8064</v>
      </c>
      <c r="D115" s="190">
        <f t="shared" si="5"/>
        <v>719690.4</v>
      </c>
      <c r="E115" s="191">
        <f t="shared" si="4"/>
        <v>5803583385.6000004</v>
      </c>
    </row>
    <row r="116" spans="1:6" x14ac:dyDescent="0.2">
      <c r="A116" s="187" t="s">
        <v>1300</v>
      </c>
      <c r="B116" s="188" t="s">
        <v>1188</v>
      </c>
      <c r="C116" s="189">
        <v>6247</v>
      </c>
      <c r="D116" s="190">
        <f t="shared" si="5"/>
        <v>719690.4</v>
      </c>
      <c r="E116" s="191">
        <f t="shared" si="4"/>
        <v>4495905928.8000002</v>
      </c>
    </row>
    <row r="117" spans="1:6" x14ac:dyDescent="0.2">
      <c r="A117" s="192" t="s">
        <v>1301</v>
      </c>
      <c r="B117" s="193" t="s">
        <v>8</v>
      </c>
      <c r="C117" s="189">
        <v>5779</v>
      </c>
      <c r="D117" s="190">
        <f t="shared" si="5"/>
        <v>802238.4</v>
      </c>
      <c r="E117" s="191">
        <f t="shared" si="4"/>
        <v>4636135713.6000004</v>
      </c>
    </row>
    <row r="118" spans="1:6" x14ac:dyDescent="0.2">
      <c r="A118" s="187" t="s">
        <v>1302</v>
      </c>
      <c r="B118" s="188" t="s">
        <v>1188</v>
      </c>
      <c r="C118" s="189">
        <v>2284</v>
      </c>
      <c r="D118" s="190">
        <f t="shared" si="5"/>
        <v>719690.4</v>
      </c>
      <c r="E118" s="191">
        <f t="shared" si="4"/>
        <v>1643772873.6000001</v>
      </c>
    </row>
    <row r="119" spans="1:6" x14ac:dyDescent="0.2">
      <c r="A119" s="192" t="s">
        <v>1303</v>
      </c>
      <c r="B119" s="193" t="s">
        <v>1188</v>
      </c>
      <c r="C119" s="189">
        <v>22580</v>
      </c>
      <c r="D119" s="190">
        <f t="shared" si="5"/>
        <v>719690.4</v>
      </c>
      <c r="E119" s="191">
        <f t="shared" si="4"/>
        <v>16250609232</v>
      </c>
    </row>
    <row r="120" spans="1:6" x14ac:dyDescent="0.2">
      <c r="A120" s="187" t="s">
        <v>1304</v>
      </c>
      <c r="B120" s="188" t="s">
        <v>1188</v>
      </c>
      <c r="C120" s="189">
        <v>7319</v>
      </c>
      <c r="D120" s="190">
        <f t="shared" si="5"/>
        <v>719690.4</v>
      </c>
      <c r="E120" s="191">
        <f t="shared" si="4"/>
        <v>5267414037.6000004</v>
      </c>
    </row>
    <row r="121" spans="1:6" x14ac:dyDescent="0.2">
      <c r="A121" s="192" t="s">
        <v>1305</v>
      </c>
      <c r="B121" s="193" t="s">
        <v>1188</v>
      </c>
      <c r="C121" s="189">
        <v>4621</v>
      </c>
      <c r="D121" s="190">
        <f t="shared" si="5"/>
        <v>719690.4</v>
      </c>
      <c r="E121" s="191">
        <f t="shared" si="4"/>
        <v>3325689338.4000001</v>
      </c>
    </row>
    <row r="122" spans="1:6" x14ac:dyDescent="0.2">
      <c r="A122" s="187" t="s">
        <v>1306</v>
      </c>
      <c r="B122" s="188" t="s">
        <v>1188</v>
      </c>
      <c r="C122" s="189">
        <v>2845</v>
      </c>
      <c r="D122" s="190">
        <f t="shared" si="5"/>
        <v>719690.4</v>
      </c>
      <c r="E122" s="191">
        <f t="shared" si="4"/>
        <v>2047519188</v>
      </c>
    </row>
    <row r="123" spans="1:6" x14ac:dyDescent="0.2">
      <c r="A123" s="194" t="s">
        <v>1307</v>
      </c>
      <c r="B123" s="195" t="s">
        <v>1308</v>
      </c>
      <c r="C123" s="196">
        <v>120500</v>
      </c>
      <c r="D123" s="190">
        <f t="shared" si="5"/>
        <v>804463.2</v>
      </c>
      <c r="E123" s="191">
        <f>C123*D123</f>
        <v>96937815600</v>
      </c>
    </row>
    <row r="125" spans="1:6" x14ac:dyDescent="0.2">
      <c r="A125" s="186" t="s">
        <v>1482</v>
      </c>
      <c r="C125" s="282">
        <v>0.95</v>
      </c>
    </row>
    <row r="127" spans="1:6" x14ac:dyDescent="0.2">
      <c r="B127" s="185" t="s">
        <v>1182</v>
      </c>
      <c r="C127" s="185" t="s">
        <v>1183</v>
      </c>
      <c r="D127" s="185" t="s">
        <v>16</v>
      </c>
      <c r="E127" s="185" t="s">
        <v>1184</v>
      </c>
      <c r="F127" s="185" t="s">
        <v>12</v>
      </c>
    </row>
    <row r="128" spans="1:6" x14ac:dyDescent="0.2">
      <c r="B128" s="186" t="s">
        <v>1188</v>
      </c>
      <c r="C128" s="186">
        <f>SUMIF($B$3:$B$123,B128,$C$3:$C$123)*$C$125</f>
        <v>644465.75</v>
      </c>
      <c r="D128" s="231">
        <v>719690.4</v>
      </c>
      <c r="E128" s="186">
        <f>SUMIF($B$3:$B$123,B128,$E$3:$E$123)</f>
        <v>488227172003.99969</v>
      </c>
      <c r="F128" s="197">
        <f>+C128/$C$133</f>
        <v>0.38072951948110983</v>
      </c>
    </row>
    <row r="129" spans="2:6" x14ac:dyDescent="0.2">
      <c r="B129" s="186" t="s">
        <v>8</v>
      </c>
      <c r="C129" s="186">
        <f>SUMIF($B$3:$B$123,B129,$C$3:$C$123)*$C$125</f>
        <v>281509.7</v>
      </c>
      <c r="D129" s="231">
        <v>802238.4</v>
      </c>
      <c r="E129" s="186">
        <f>SUMIF($B$3:$B$123,B129,$E$3:$E$123)</f>
        <v>237724096118.39996</v>
      </c>
      <c r="F129" s="197">
        <f>+C129/$C$133</f>
        <v>0.16630682516529605</v>
      </c>
    </row>
    <row r="130" spans="2:6" x14ac:dyDescent="0.2">
      <c r="B130" s="186" t="s">
        <v>9</v>
      </c>
      <c r="C130" s="186">
        <f>SUMIF($B$3:$B$123,B130,$C$3:$C$123)*$C$125</f>
        <v>110045.15</v>
      </c>
      <c r="D130" s="231">
        <v>827643.6</v>
      </c>
      <c r="E130" s="186">
        <f>SUMIF($B$3:$B$123,B130,$E$3:$E$123)</f>
        <v>95871751693.199997</v>
      </c>
      <c r="F130" s="197">
        <f>+C130/$C$133</f>
        <v>6.5011115145725981E-2</v>
      </c>
    </row>
    <row r="131" spans="2:6" x14ac:dyDescent="0.2">
      <c r="B131" s="186" t="s">
        <v>1308</v>
      </c>
      <c r="C131" s="186">
        <f>SUMIF($B$3:$B$123,B131,$C$3:$C$123)*$C$125</f>
        <v>114475</v>
      </c>
      <c r="D131" s="231">
        <v>804463.2</v>
      </c>
      <c r="E131" s="186">
        <f>SUMIF($B$3:$B$123,B131,$E$3:$E$123)</f>
        <v>96937815600</v>
      </c>
      <c r="F131" s="197">
        <f>+C131/$C$133</f>
        <v>6.7628127239655556E-2</v>
      </c>
    </row>
    <row r="132" spans="2:6" x14ac:dyDescent="0.2">
      <c r="B132" s="186" t="s">
        <v>1186</v>
      </c>
      <c r="C132" s="186">
        <f>SUMIF($B$3:$B$123,B132,$C$3:$C$123)*$C$125</f>
        <v>542217.25</v>
      </c>
      <c r="D132" s="231">
        <f>IF('Panel de control'!A166=1,864568.8,D131)</f>
        <v>864568.8</v>
      </c>
      <c r="E132" s="186">
        <f>SUMIF($B$3:$B$123,B132,$E$3:$E$123)</f>
        <v>493456965444</v>
      </c>
      <c r="F132" s="197">
        <f>+C132/$C$133</f>
        <v>0.32032441296821251</v>
      </c>
    </row>
    <row r="133" spans="2:6" s="23" customFormat="1" x14ac:dyDescent="0.2">
      <c r="B133" s="23" t="s">
        <v>1309</v>
      </c>
      <c r="C133" s="23">
        <f>SUM(C128:C132)</f>
        <v>1692712.85</v>
      </c>
      <c r="D133" s="23">
        <f>+E133/C133</f>
        <v>834292.59774308419</v>
      </c>
      <c r="E133" s="23">
        <f>SUM(E128:E132)</f>
        <v>1412217800859.5996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8"/>
  <dimension ref="A1:H372"/>
  <sheetViews>
    <sheetView zoomScale="130" zoomScaleNormal="130" zoomScaleSheetLayoutView="100" workbookViewId="0">
      <pane xSplit="3" ySplit="1" topLeftCell="F2" activePane="bottomRight" state="frozen"/>
      <selection pane="topRight" activeCell="D1" sqref="D1"/>
      <selection pane="bottomLeft" activeCell="A2" sqref="A2"/>
      <selection pane="bottomRight" activeCell="F2" sqref="F2"/>
    </sheetView>
  </sheetViews>
  <sheetFormatPr baseColWidth="10" defaultColWidth="11.42578125" defaultRowHeight="12" x14ac:dyDescent="0.2"/>
  <cols>
    <col min="1" max="1" width="17.42578125" style="41" customWidth="1"/>
    <col min="2" max="2" width="9.42578125" style="26" bestFit="1" customWidth="1"/>
    <col min="3" max="3" width="69.85546875" style="24" bestFit="1" customWidth="1"/>
    <col min="4" max="7" width="19" style="28" customWidth="1"/>
    <col min="8" max="16384" width="11.42578125" style="24"/>
  </cols>
  <sheetData>
    <row r="1" spans="1:7" s="16" customFormat="1" ht="15" x14ac:dyDescent="0.25">
      <c r="A1" s="14" t="s">
        <v>25</v>
      </c>
      <c r="B1" s="14" t="s">
        <v>26</v>
      </c>
      <c r="C1" s="14" t="s">
        <v>27</v>
      </c>
      <c r="D1" s="15" t="s">
        <v>28</v>
      </c>
      <c r="E1" s="15" t="s">
        <v>29</v>
      </c>
      <c r="F1" s="15" t="s">
        <v>30</v>
      </c>
      <c r="G1" s="15" t="s">
        <v>31</v>
      </c>
    </row>
    <row r="2" spans="1:7" s="16" customFormat="1" ht="15" x14ac:dyDescent="0.25">
      <c r="A2" s="17" t="s">
        <v>32</v>
      </c>
      <c r="B2" s="18">
        <v>1</v>
      </c>
      <c r="C2" s="17" t="s">
        <v>33</v>
      </c>
      <c r="D2" s="19">
        <v>190047779441</v>
      </c>
      <c r="E2" s="19">
        <v>233318009664</v>
      </c>
      <c r="F2" s="19">
        <v>311670526572</v>
      </c>
      <c r="G2" s="19">
        <v>340559027946</v>
      </c>
    </row>
    <row r="3" spans="1:7" ht="12.75" x14ac:dyDescent="0.2">
      <c r="A3" s="20" t="s">
        <v>34</v>
      </c>
      <c r="B3" s="21">
        <v>2</v>
      </c>
      <c r="C3" s="22" t="s">
        <v>35</v>
      </c>
      <c r="D3" s="23">
        <v>6762481831</v>
      </c>
      <c r="E3" s="23">
        <v>15189324061</v>
      </c>
      <c r="F3" s="23">
        <v>15776347830</v>
      </c>
      <c r="G3" s="23">
        <v>25124482766</v>
      </c>
    </row>
    <row r="4" spans="1:7" x14ac:dyDescent="0.2">
      <c r="A4" s="25" t="s">
        <v>36</v>
      </c>
      <c r="B4" s="26">
        <v>4</v>
      </c>
      <c r="C4" s="25" t="s">
        <v>37</v>
      </c>
      <c r="D4" s="27">
        <v>0</v>
      </c>
      <c r="E4" s="28">
        <v>0</v>
      </c>
      <c r="F4" s="28">
        <v>0</v>
      </c>
      <c r="G4" s="28">
        <v>681274</v>
      </c>
    </row>
    <row r="5" spans="1:7" s="33" customFormat="1" x14ac:dyDescent="0.2">
      <c r="A5" s="29" t="s">
        <v>38</v>
      </c>
      <c r="B5" s="30">
        <v>6</v>
      </c>
      <c r="C5" s="29" t="s">
        <v>39</v>
      </c>
      <c r="D5" s="31">
        <v>0</v>
      </c>
      <c r="E5" s="32">
        <v>0</v>
      </c>
      <c r="F5" s="32">
        <v>0</v>
      </c>
      <c r="G5" s="32">
        <v>681274</v>
      </c>
    </row>
    <row r="6" spans="1:7" x14ac:dyDescent="0.2">
      <c r="A6" s="25" t="s">
        <v>40</v>
      </c>
      <c r="B6" s="26">
        <v>4</v>
      </c>
      <c r="C6" s="25" t="s">
        <v>41</v>
      </c>
      <c r="D6" s="28">
        <v>6762481831</v>
      </c>
      <c r="E6" s="28">
        <v>15189324061</v>
      </c>
      <c r="F6" s="28">
        <v>15776347830</v>
      </c>
      <c r="G6" s="28">
        <v>25123801492</v>
      </c>
    </row>
    <row r="7" spans="1:7" s="33" customFormat="1" x14ac:dyDescent="0.2">
      <c r="A7" s="29" t="s">
        <v>42</v>
      </c>
      <c r="B7" s="30">
        <v>6</v>
      </c>
      <c r="C7" s="34" t="s">
        <v>43</v>
      </c>
      <c r="D7" s="32">
        <v>677045769</v>
      </c>
      <c r="E7" s="32">
        <v>6941609229</v>
      </c>
      <c r="F7" s="32">
        <v>15776347830</v>
      </c>
      <c r="G7" s="32">
        <v>25123801492</v>
      </c>
    </row>
    <row r="8" spans="1:7" s="33" customFormat="1" x14ac:dyDescent="0.2">
      <c r="A8" s="29" t="s">
        <v>44</v>
      </c>
      <c r="B8" s="30">
        <v>6</v>
      </c>
      <c r="C8" s="34" t="s">
        <v>45</v>
      </c>
      <c r="D8" s="32">
        <v>6085436062</v>
      </c>
      <c r="E8" s="32">
        <v>8247714832</v>
      </c>
      <c r="F8" s="32">
        <v>0</v>
      </c>
      <c r="G8" s="32">
        <v>0</v>
      </c>
    </row>
    <row r="9" spans="1:7" ht="12.75" x14ac:dyDescent="0.2">
      <c r="A9" s="20" t="s">
        <v>46</v>
      </c>
      <c r="B9" s="21">
        <v>2</v>
      </c>
      <c r="C9" s="22" t="s">
        <v>47</v>
      </c>
      <c r="D9" s="23">
        <v>3700000000</v>
      </c>
      <c r="E9" s="23">
        <v>5090000000</v>
      </c>
      <c r="F9" s="23">
        <v>23515190270</v>
      </c>
      <c r="G9" s="23">
        <v>20931943962</v>
      </c>
    </row>
    <row r="10" spans="1:7" x14ac:dyDescent="0.2">
      <c r="A10" s="25" t="s">
        <v>48</v>
      </c>
      <c r="B10" s="26">
        <v>4</v>
      </c>
      <c r="C10" s="35" t="s">
        <v>49</v>
      </c>
      <c r="D10" s="28">
        <v>0</v>
      </c>
      <c r="E10" s="28">
        <v>5090000000</v>
      </c>
      <c r="F10" s="28">
        <v>0</v>
      </c>
      <c r="G10" s="28">
        <v>0</v>
      </c>
    </row>
    <row r="11" spans="1:7" s="33" customFormat="1" x14ac:dyDescent="0.2">
      <c r="A11" s="29" t="s">
        <v>50</v>
      </c>
      <c r="B11" s="30">
        <v>6</v>
      </c>
      <c r="C11" s="34" t="s">
        <v>51</v>
      </c>
      <c r="D11" s="32">
        <v>0</v>
      </c>
      <c r="E11" s="32">
        <v>5090000000</v>
      </c>
      <c r="F11" s="32">
        <v>0</v>
      </c>
      <c r="G11" s="32">
        <v>0</v>
      </c>
    </row>
    <row r="12" spans="1:7" x14ac:dyDescent="0.2">
      <c r="A12" s="25" t="s">
        <v>52</v>
      </c>
      <c r="B12" s="26">
        <v>4</v>
      </c>
      <c r="C12" s="25" t="s">
        <v>53</v>
      </c>
      <c r="D12" s="28">
        <v>3700000000</v>
      </c>
      <c r="E12" s="28">
        <v>0</v>
      </c>
      <c r="F12" s="28">
        <v>0</v>
      </c>
      <c r="G12" s="28">
        <v>0</v>
      </c>
    </row>
    <row r="13" spans="1:7" s="33" customFormat="1" x14ac:dyDescent="0.2">
      <c r="A13" s="29" t="s">
        <v>54</v>
      </c>
      <c r="B13" s="30">
        <v>6</v>
      </c>
      <c r="C13" s="34" t="s">
        <v>55</v>
      </c>
      <c r="D13" s="32">
        <v>3700000000</v>
      </c>
      <c r="E13" s="32">
        <v>0</v>
      </c>
      <c r="F13" s="32">
        <v>0</v>
      </c>
      <c r="G13" s="32">
        <v>0</v>
      </c>
    </row>
    <row r="14" spans="1:7" x14ac:dyDescent="0.2">
      <c r="A14" s="25" t="s">
        <v>56</v>
      </c>
      <c r="B14" s="26">
        <v>4</v>
      </c>
      <c r="C14" s="25" t="s">
        <v>57</v>
      </c>
      <c r="D14" s="28">
        <v>0</v>
      </c>
      <c r="E14" s="28">
        <v>0</v>
      </c>
      <c r="F14" s="28">
        <v>23515190270</v>
      </c>
      <c r="G14" s="28">
        <v>20931943962</v>
      </c>
    </row>
    <row r="15" spans="1:7" ht="12.75" x14ac:dyDescent="0.2">
      <c r="A15" s="20" t="s">
        <v>58</v>
      </c>
      <c r="B15" s="21">
        <v>2</v>
      </c>
      <c r="C15" s="22" t="s">
        <v>59</v>
      </c>
      <c r="D15" s="23">
        <v>0</v>
      </c>
      <c r="E15" s="23">
        <v>0</v>
      </c>
      <c r="F15" s="23">
        <v>226327325388</v>
      </c>
      <c r="G15" s="23">
        <v>248831647149</v>
      </c>
    </row>
    <row r="16" spans="1:7" x14ac:dyDescent="0.2">
      <c r="A16" s="25" t="s">
        <v>60</v>
      </c>
      <c r="B16" s="26">
        <v>4</v>
      </c>
      <c r="C16" s="25" t="s">
        <v>61</v>
      </c>
      <c r="D16" s="28">
        <v>0</v>
      </c>
      <c r="E16" s="28">
        <v>0</v>
      </c>
      <c r="F16" s="28">
        <v>229292006033</v>
      </c>
      <c r="G16" s="28">
        <v>253413093885</v>
      </c>
    </row>
    <row r="17" spans="1:7" s="33" customFormat="1" x14ac:dyDescent="0.2">
      <c r="A17" s="29" t="s">
        <v>62</v>
      </c>
      <c r="B17" s="30">
        <v>6</v>
      </c>
      <c r="C17" s="36" t="s">
        <v>63</v>
      </c>
      <c r="D17" s="32">
        <v>0</v>
      </c>
      <c r="E17" s="32">
        <v>0</v>
      </c>
      <c r="F17" s="32">
        <v>288927793</v>
      </c>
      <c r="G17" s="32">
        <v>1241627343</v>
      </c>
    </row>
    <row r="18" spans="1:7" s="33" customFormat="1" x14ac:dyDescent="0.2">
      <c r="A18" s="29" t="s">
        <v>64</v>
      </c>
      <c r="B18" s="30">
        <v>6</v>
      </c>
      <c r="C18" s="36" t="s">
        <v>65</v>
      </c>
      <c r="D18" s="32">
        <v>0</v>
      </c>
      <c r="E18" s="32">
        <v>0</v>
      </c>
      <c r="F18" s="32">
        <v>7921629663</v>
      </c>
      <c r="G18" s="32">
        <v>4848349813</v>
      </c>
    </row>
    <row r="19" spans="1:7" s="33" customFormat="1" x14ac:dyDescent="0.2">
      <c r="A19" s="29" t="s">
        <v>66</v>
      </c>
      <c r="B19" s="30">
        <v>6</v>
      </c>
      <c r="C19" s="36" t="s">
        <v>67</v>
      </c>
      <c r="D19" s="32">
        <v>0</v>
      </c>
      <c r="E19" s="32">
        <v>0</v>
      </c>
      <c r="F19" s="32">
        <v>4537380446</v>
      </c>
      <c r="G19" s="32">
        <v>3013837646</v>
      </c>
    </row>
    <row r="20" spans="1:7" s="33" customFormat="1" x14ac:dyDescent="0.2">
      <c r="A20" s="29" t="s">
        <v>68</v>
      </c>
      <c r="B20" s="30">
        <v>6</v>
      </c>
      <c r="C20" s="36" t="s">
        <v>69</v>
      </c>
      <c r="D20" s="32">
        <v>0</v>
      </c>
      <c r="E20" s="32">
        <v>0</v>
      </c>
      <c r="F20" s="32">
        <v>859678176</v>
      </c>
      <c r="G20" s="32">
        <v>859678176</v>
      </c>
    </row>
    <row r="21" spans="1:7" s="33" customFormat="1" x14ac:dyDescent="0.2">
      <c r="A21" s="29" t="s">
        <v>70</v>
      </c>
      <c r="B21" s="30">
        <v>6</v>
      </c>
      <c r="C21" s="36" t="s">
        <v>71</v>
      </c>
      <c r="D21" s="32">
        <v>0</v>
      </c>
      <c r="E21" s="32">
        <v>0</v>
      </c>
      <c r="F21" s="32">
        <v>25926371412</v>
      </c>
      <c r="G21" s="32">
        <v>26866145248</v>
      </c>
    </row>
    <row r="22" spans="1:7" s="33" customFormat="1" x14ac:dyDescent="0.2">
      <c r="A22" s="29" t="s">
        <v>72</v>
      </c>
      <c r="B22" s="30">
        <v>6</v>
      </c>
      <c r="C22" s="36" t="s">
        <v>73</v>
      </c>
      <c r="D22" s="32">
        <v>0</v>
      </c>
      <c r="E22" s="32">
        <v>0</v>
      </c>
      <c r="F22" s="32">
        <v>146790210063</v>
      </c>
      <c r="G22" s="32">
        <v>173211212259</v>
      </c>
    </row>
    <row r="23" spans="1:7" s="33" customFormat="1" x14ac:dyDescent="0.2">
      <c r="A23" s="29" t="s">
        <v>74</v>
      </c>
      <c r="B23" s="30">
        <v>6</v>
      </c>
      <c r="C23" s="36" t="s">
        <v>75</v>
      </c>
      <c r="D23" s="32">
        <v>0</v>
      </c>
      <c r="E23" s="32">
        <v>0</v>
      </c>
      <c r="F23" s="32">
        <v>921485</v>
      </c>
      <c r="G23" s="32">
        <v>921485</v>
      </c>
    </row>
    <row r="24" spans="1:7" s="33" customFormat="1" x14ac:dyDescent="0.2">
      <c r="A24" s="29" t="s">
        <v>76</v>
      </c>
      <c r="B24" s="30">
        <v>6</v>
      </c>
      <c r="C24" s="36" t="s">
        <v>77</v>
      </c>
      <c r="D24" s="32">
        <v>0</v>
      </c>
      <c r="E24" s="32">
        <v>0</v>
      </c>
      <c r="F24" s="32">
        <v>42966886995</v>
      </c>
      <c r="G24" s="32">
        <v>43371321915</v>
      </c>
    </row>
    <row r="25" spans="1:7" x14ac:dyDescent="0.2">
      <c r="A25" s="25" t="s">
        <v>78</v>
      </c>
      <c r="B25" s="26">
        <v>4</v>
      </c>
      <c r="C25" s="25" t="s">
        <v>79</v>
      </c>
      <c r="D25" s="28">
        <v>0</v>
      </c>
      <c r="E25" s="28">
        <v>0</v>
      </c>
      <c r="F25" s="28">
        <v>664097297</v>
      </c>
      <c r="G25" s="28">
        <v>666422412</v>
      </c>
    </row>
    <row r="26" spans="1:7" s="33" customFormat="1" x14ac:dyDescent="0.2">
      <c r="A26" s="29" t="s">
        <v>80</v>
      </c>
      <c r="B26" s="30">
        <v>6</v>
      </c>
      <c r="C26" s="36" t="s">
        <v>79</v>
      </c>
      <c r="D26" s="32">
        <v>0</v>
      </c>
      <c r="E26" s="32">
        <v>0</v>
      </c>
      <c r="F26" s="32">
        <v>664097297</v>
      </c>
      <c r="G26" s="32">
        <v>666422412</v>
      </c>
    </row>
    <row r="27" spans="1:7" x14ac:dyDescent="0.2">
      <c r="A27" s="25" t="s">
        <v>81</v>
      </c>
      <c r="B27" s="26">
        <v>4</v>
      </c>
      <c r="C27" s="25" t="s">
        <v>82</v>
      </c>
      <c r="D27" s="28">
        <v>0</v>
      </c>
      <c r="E27" s="28">
        <v>0</v>
      </c>
      <c r="F27" s="28">
        <v>-3628777942</v>
      </c>
      <c r="G27" s="28">
        <v>-5247869148</v>
      </c>
    </row>
    <row r="28" spans="1:7" s="33" customFormat="1" x14ac:dyDescent="0.2">
      <c r="A28" s="29" t="s">
        <v>83</v>
      </c>
      <c r="B28" s="30">
        <v>6</v>
      </c>
      <c r="C28" s="36" t="s">
        <v>61</v>
      </c>
      <c r="D28" s="32">
        <v>0</v>
      </c>
      <c r="E28" s="32">
        <v>0</v>
      </c>
      <c r="F28" s="32">
        <v>-3594298835</v>
      </c>
      <c r="G28" s="32">
        <v>-5205873273</v>
      </c>
    </row>
    <row r="29" spans="1:7" s="33" customFormat="1" x14ac:dyDescent="0.2">
      <c r="A29" s="29" t="s">
        <v>84</v>
      </c>
      <c r="B29" s="30">
        <v>6</v>
      </c>
      <c r="C29" s="36" t="s">
        <v>85</v>
      </c>
      <c r="D29" s="32">
        <v>0</v>
      </c>
      <c r="E29" s="32">
        <v>0</v>
      </c>
      <c r="F29" s="32">
        <v>-34479107</v>
      </c>
      <c r="G29" s="32">
        <v>-41995875</v>
      </c>
    </row>
    <row r="30" spans="1:7" ht="12.75" x14ac:dyDescent="0.2">
      <c r="A30" s="20" t="s">
        <v>86</v>
      </c>
      <c r="B30" s="21">
        <v>2</v>
      </c>
      <c r="C30" s="22" t="s">
        <v>87</v>
      </c>
      <c r="D30" s="23">
        <v>157675054354</v>
      </c>
      <c r="E30" s="23">
        <v>190809174254</v>
      </c>
      <c r="F30" s="23">
        <v>0</v>
      </c>
      <c r="G30" s="23">
        <v>0</v>
      </c>
    </row>
    <row r="31" spans="1:7" x14ac:dyDescent="0.2">
      <c r="A31" s="25" t="s">
        <v>88</v>
      </c>
      <c r="B31" s="26">
        <v>4</v>
      </c>
      <c r="C31" s="25" t="s">
        <v>61</v>
      </c>
      <c r="D31" s="28">
        <v>123588091534</v>
      </c>
      <c r="E31" s="28">
        <v>167068545734</v>
      </c>
      <c r="F31" s="28">
        <v>0</v>
      </c>
      <c r="G31" s="28">
        <v>0</v>
      </c>
    </row>
    <row r="32" spans="1:7" s="33" customFormat="1" x14ac:dyDescent="0.2">
      <c r="A32" s="29" t="s">
        <v>89</v>
      </c>
      <c r="B32" s="30">
        <v>6</v>
      </c>
      <c r="C32" s="34" t="s">
        <v>90</v>
      </c>
      <c r="D32" s="32">
        <v>498210266</v>
      </c>
      <c r="E32" s="32">
        <v>88910184</v>
      </c>
      <c r="F32" s="32">
        <v>0</v>
      </c>
      <c r="G32" s="32">
        <v>0</v>
      </c>
    </row>
    <row r="33" spans="1:7" s="33" customFormat="1" x14ac:dyDescent="0.2">
      <c r="A33" s="29" t="s">
        <v>91</v>
      </c>
      <c r="B33" s="30">
        <v>6</v>
      </c>
      <c r="C33" s="34" t="s">
        <v>65</v>
      </c>
      <c r="D33" s="32">
        <v>6537408745</v>
      </c>
      <c r="E33" s="32">
        <v>8006883218</v>
      </c>
      <c r="F33" s="32">
        <v>0</v>
      </c>
      <c r="G33" s="32">
        <v>0</v>
      </c>
    </row>
    <row r="34" spans="1:7" s="33" customFormat="1" x14ac:dyDescent="0.2">
      <c r="A34" s="29" t="s">
        <v>92</v>
      </c>
      <c r="B34" s="30">
        <v>6</v>
      </c>
      <c r="C34" s="34" t="s">
        <v>93</v>
      </c>
      <c r="D34" s="32">
        <v>469567433</v>
      </c>
      <c r="E34" s="32">
        <v>1452749789</v>
      </c>
      <c r="F34" s="32">
        <v>0</v>
      </c>
      <c r="G34" s="32">
        <v>0</v>
      </c>
    </row>
    <row r="35" spans="1:7" s="33" customFormat="1" x14ac:dyDescent="0.2">
      <c r="A35" s="29" t="s">
        <v>94</v>
      </c>
      <c r="B35" s="30">
        <v>6</v>
      </c>
      <c r="C35" s="29" t="s">
        <v>95</v>
      </c>
      <c r="D35" s="32">
        <v>3888556016</v>
      </c>
      <c r="E35" s="32">
        <v>859678176</v>
      </c>
      <c r="F35" s="32">
        <v>0</v>
      </c>
      <c r="G35" s="32">
        <v>0</v>
      </c>
    </row>
    <row r="36" spans="1:7" s="33" customFormat="1" x14ac:dyDescent="0.2">
      <c r="A36" s="29" t="s">
        <v>96</v>
      </c>
      <c r="B36" s="30">
        <v>6</v>
      </c>
      <c r="C36" s="29" t="s">
        <v>71</v>
      </c>
      <c r="D36" s="32">
        <v>16218891608</v>
      </c>
      <c r="E36" s="32">
        <v>31258196065</v>
      </c>
      <c r="F36" s="32">
        <v>0</v>
      </c>
      <c r="G36" s="32">
        <v>0</v>
      </c>
    </row>
    <row r="37" spans="1:7" s="33" customFormat="1" x14ac:dyDescent="0.2">
      <c r="A37" s="29" t="s">
        <v>97</v>
      </c>
      <c r="B37" s="30">
        <v>6</v>
      </c>
      <c r="C37" s="29" t="s">
        <v>73</v>
      </c>
      <c r="D37" s="32">
        <v>62334734215</v>
      </c>
      <c r="E37" s="32">
        <v>90240603705</v>
      </c>
      <c r="F37" s="32">
        <v>0</v>
      </c>
      <c r="G37" s="32">
        <v>0</v>
      </c>
    </row>
    <row r="38" spans="1:7" s="33" customFormat="1" x14ac:dyDescent="0.2">
      <c r="A38" s="29" t="s">
        <v>98</v>
      </c>
      <c r="B38" s="30">
        <v>6</v>
      </c>
      <c r="C38" s="29" t="s">
        <v>77</v>
      </c>
      <c r="D38" s="32">
        <v>33640723251</v>
      </c>
      <c r="E38" s="32">
        <v>35161524597</v>
      </c>
      <c r="F38" s="32">
        <v>0</v>
      </c>
      <c r="G38" s="32">
        <v>0</v>
      </c>
    </row>
    <row r="39" spans="1:7" x14ac:dyDescent="0.2">
      <c r="A39" s="25" t="s">
        <v>99</v>
      </c>
      <c r="B39" s="26">
        <v>4</v>
      </c>
      <c r="C39" s="25" t="s">
        <v>100</v>
      </c>
      <c r="D39" s="28">
        <v>44870773537</v>
      </c>
      <c r="E39" s="28">
        <v>33614782341</v>
      </c>
      <c r="F39" s="28">
        <v>0</v>
      </c>
      <c r="G39" s="28">
        <v>0</v>
      </c>
    </row>
    <row r="40" spans="1:7" s="33" customFormat="1" x14ac:dyDescent="0.2">
      <c r="A40" s="29" t="s">
        <v>101</v>
      </c>
      <c r="B40" s="30">
        <v>6</v>
      </c>
      <c r="C40" s="29" t="s">
        <v>102</v>
      </c>
      <c r="D40" s="32">
        <v>0</v>
      </c>
      <c r="E40" s="32">
        <v>7820000</v>
      </c>
      <c r="F40" s="32">
        <v>0</v>
      </c>
      <c r="G40" s="32">
        <v>0</v>
      </c>
    </row>
    <row r="41" spans="1:7" s="33" customFormat="1" x14ac:dyDescent="0.2">
      <c r="A41" s="29" t="s">
        <v>103</v>
      </c>
      <c r="B41" s="30">
        <v>6</v>
      </c>
      <c r="C41" s="29" t="s">
        <v>104</v>
      </c>
      <c r="D41" s="32">
        <v>44870773537</v>
      </c>
      <c r="E41" s="32">
        <v>33606962341</v>
      </c>
      <c r="F41" s="32">
        <v>0</v>
      </c>
      <c r="G41" s="32">
        <v>0</v>
      </c>
    </row>
    <row r="42" spans="1:7" x14ac:dyDescent="0.2">
      <c r="A42" s="25" t="s">
        <v>105</v>
      </c>
      <c r="B42" s="26">
        <v>4</v>
      </c>
      <c r="C42" s="25" t="s">
        <v>106</v>
      </c>
      <c r="D42" s="28">
        <v>81125258</v>
      </c>
      <c r="E42" s="28">
        <v>138439758</v>
      </c>
      <c r="F42" s="28">
        <v>0</v>
      </c>
      <c r="G42" s="28">
        <v>0</v>
      </c>
    </row>
    <row r="43" spans="1:7" s="33" customFormat="1" x14ac:dyDescent="0.2">
      <c r="A43" s="29" t="s">
        <v>107</v>
      </c>
      <c r="B43" s="30">
        <v>6</v>
      </c>
      <c r="C43" s="29" t="s">
        <v>108</v>
      </c>
      <c r="D43" s="32">
        <v>81125258</v>
      </c>
      <c r="E43" s="32">
        <v>138439758</v>
      </c>
      <c r="F43" s="32">
        <v>0</v>
      </c>
      <c r="G43" s="32">
        <v>0</v>
      </c>
    </row>
    <row r="44" spans="1:7" x14ac:dyDescent="0.2">
      <c r="A44" s="25" t="s">
        <v>109</v>
      </c>
      <c r="B44" s="26">
        <v>4</v>
      </c>
      <c r="C44" s="25" t="s">
        <v>110</v>
      </c>
      <c r="D44" s="28">
        <v>0</v>
      </c>
      <c r="E44" s="28">
        <v>961610946</v>
      </c>
      <c r="F44" s="28">
        <v>0</v>
      </c>
      <c r="G44" s="28">
        <v>0</v>
      </c>
    </row>
    <row r="45" spans="1:7" s="33" customFormat="1" x14ac:dyDescent="0.2">
      <c r="A45" s="29" t="s">
        <v>111</v>
      </c>
      <c r="B45" s="30">
        <v>6</v>
      </c>
      <c r="C45" s="29" t="s">
        <v>112</v>
      </c>
      <c r="D45" s="32">
        <v>0</v>
      </c>
      <c r="E45" s="32">
        <v>7474000</v>
      </c>
      <c r="F45" s="32">
        <v>0</v>
      </c>
      <c r="G45" s="32">
        <v>0</v>
      </c>
    </row>
    <row r="46" spans="1:7" s="33" customFormat="1" x14ac:dyDescent="0.2">
      <c r="A46" s="29" t="s">
        <v>113</v>
      </c>
      <c r="B46" s="30">
        <v>6</v>
      </c>
      <c r="C46" s="29" t="s">
        <v>114</v>
      </c>
      <c r="D46" s="32">
        <v>0</v>
      </c>
      <c r="E46" s="32">
        <v>954136946</v>
      </c>
      <c r="F46" s="32">
        <v>0</v>
      </c>
      <c r="G46" s="32">
        <v>0</v>
      </c>
    </row>
    <row r="47" spans="1:7" x14ac:dyDescent="0.2">
      <c r="A47" s="25" t="s">
        <v>115</v>
      </c>
      <c r="B47" s="26">
        <v>4</v>
      </c>
      <c r="C47" s="25" t="s">
        <v>116</v>
      </c>
      <c r="D47" s="28">
        <v>252753665</v>
      </c>
      <c r="E47" s="28">
        <v>462272046</v>
      </c>
      <c r="F47" s="28">
        <v>0</v>
      </c>
      <c r="G47" s="28">
        <v>0</v>
      </c>
    </row>
    <row r="48" spans="1:7" s="33" customFormat="1" x14ac:dyDescent="0.2">
      <c r="A48" s="29" t="s">
        <v>117</v>
      </c>
      <c r="B48" s="30">
        <v>6</v>
      </c>
      <c r="C48" s="29" t="s">
        <v>118</v>
      </c>
      <c r="D48" s="32">
        <v>8916919</v>
      </c>
      <c r="E48" s="32">
        <v>96746051</v>
      </c>
      <c r="F48" s="32">
        <v>0</v>
      </c>
      <c r="G48" s="32">
        <v>0</v>
      </c>
    </row>
    <row r="49" spans="1:7" s="33" customFormat="1" x14ac:dyDescent="0.2">
      <c r="A49" s="29" t="s">
        <v>119</v>
      </c>
      <c r="B49" s="30">
        <v>6</v>
      </c>
      <c r="C49" s="29" t="s">
        <v>116</v>
      </c>
      <c r="D49" s="32">
        <v>243836746</v>
      </c>
      <c r="E49" s="32">
        <v>365525995</v>
      </c>
      <c r="F49" s="32">
        <v>0</v>
      </c>
      <c r="G49" s="32">
        <v>0</v>
      </c>
    </row>
    <row r="50" spans="1:7" x14ac:dyDescent="0.2">
      <c r="A50" s="25" t="s">
        <v>120</v>
      </c>
      <c r="B50" s="26">
        <v>4</v>
      </c>
      <c r="C50" s="25" t="s">
        <v>121</v>
      </c>
      <c r="D50" s="28">
        <v>498519138</v>
      </c>
      <c r="E50" s="28">
        <v>583954584</v>
      </c>
      <c r="F50" s="28">
        <v>0</v>
      </c>
      <c r="G50" s="28">
        <v>0</v>
      </c>
    </row>
    <row r="51" spans="1:7" s="33" customFormat="1" x14ac:dyDescent="0.2">
      <c r="A51" s="29" t="s">
        <v>122</v>
      </c>
      <c r="B51" s="30">
        <v>6</v>
      </c>
      <c r="C51" s="29" t="s">
        <v>61</v>
      </c>
      <c r="D51" s="32">
        <v>498519138</v>
      </c>
      <c r="E51" s="32">
        <v>583954584</v>
      </c>
      <c r="F51" s="32">
        <v>0</v>
      </c>
      <c r="G51" s="32">
        <v>0</v>
      </c>
    </row>
    <row r="52" spans="1:7" x14ac:dyDescent="0.2">
      <c r="A52" s="25" t="s">
        <v>123</v>
      </c>
      <c r="B52" s="26">
        <v>4</v>
      </c>
      <c r="C52" s="25" t="s">
        <v>124</v>
      </c>
      <c r="D52" s="28">
        <v>-11616208778</v>
      </c>
      <c r="E52" s="28">
        <v>-12020431155</v>
      </c>
      <c r="F52" s="28">
        <v>0</v>
      </c>
      <c r="G52" s="28">
        <v>0</v>
      </c>
    </row>
    <row r="53" spans="1:7" s="33" customFormat="1" x14ac:dyDescent="0.2">
      <c r="A53" s="29" t="s">
        <v>125</v>
      </c>
      <c r="B53" s="30">
        <v>6</v>
      </c>
      <c r="C53" s="29" t="s">
        <v>61</v>
      </c>
      <c r="D53" s="32">
        <v>-11616208778</v>
      </c>
      <c r="E53" s="32">
        <v>-12020431155</v>
      </c>
      <c r="F53" s="32">
        <v>0</v>
      </c>
      <c r="G53" s="32">
        <v>0</v>
      </c>
    </row>
    <row r="54" spans="1:7" ht="12.75" x14ac:dyDescent="0.2">
      <c r="A54" s="20" t="s">
        <v>126</v>
      </c>
      <c r="B54" s="21">
        <v>2</v>
      </c>
      <c r="C54" s="22" t="s">
        <v>127</v>
      </c>
      <c r="D54" s="23">
        <v>186657194</v>
      </c>
      <c r="E54" s="23">
        <v>749712579</v>
      </c>
      <c r="F54" s="23">
        <v>811293776</v>
      </c>
      <c r="G54" s="23">
        <v>770545735</v>
      </c>
    </row>
    <row r="55" spans="1:7" x14ac:dyDescent="0.2">
      <c r="A55" s="25" t="s">
        <v>128</v>
      </c>
      <c r="B55" s="26">
        <v>4</v>
      </c>
      <c r="C55" s="25" t="s">
        <v>129</v>
      </c>
      <c r="D55" s="28">
        <v>241173910</v>
      </c>
      <c r="E55" s="28">
        <v>804950342</v>
      </c>
      <c r="F55" s="28">
        <v>838369397</v>
      </c>
      <c r="G55" s="28">
        <v>845025880</v>
      </c>
    </row>
    <row r="56" spans="1:7" s="33" customFormat="1" x14ac:dyDescent="0.2">
      <c r="A56" s="29" t="s">
        <v>130</v>
      </c>
      <c r="B56" s="30">
        <v>6</v>
      </c>
      <c r="C56" s="29" t="s">
        <v>131</v>
      </c>
      <c r="D56" s="32">
        <v>202920081</v>
      </c>
      <c r="E56" s="32">
        <v>748318711</v>
      </c>
      <c r="F56" s="32">
        <v>791294205</v>
      </c>
      <c r="G56" s="32">
        <v>796681805</v>
      </c>
    </row>
    <row r="57" spans="1:7" s="33" customFormat="1" x14ac:dyDescent="0.2">
      <c r="A57" s="29" t="s">
        <v>132</v>
      </c>
      <c r="B57" s="30">
        <v>6</v>
      </c>
      <c r="C57" s="29" t="s">
        <v>133</v>
      </c>
      <c r="D57" s="32">
        <v>38253829</v>
      </c>
      <c r="E57" s="32">
        <v>56631631</v>
      </c>
      <c r="F57" s="32">
        <v>47075192</v>
      </c>
      <c r="G57" s="32">
        <v>48344075</v>
      </c>
    </row>
    <row r="58" spans="1:7" x14ac:dyDescent="0.2">
      <c r="A58" s="25" t="s">
        <v>134</v>
      </c>
      <c r="B58" s="26">
        <v>4</v>
      </c>
      <c r="C58" s="25" t="s">
        <v>135</v>
      </c>
      <c r="D58" s="28">
        <v>124146110</v>
      </c>
      <c r="E58" s="28">
        <v>163730501</v>
      </c>
      <c r="F58" s="28">
        <v>75877721</v>
      </c>
      <c r="G58" s="28">
        <v>75877721</v>
      </c>
    </row>
    <row r="59" spans="1:7" s="33" customFormat="1" x14ac:dyDescent="0.2">
      <c r="A59" s="29" t="s">
        <v>136</v>
      </c>
      <c r="B59" s="30">
        <v>6</v>
      </c>
      <c r="C59" s="29" t="s">
        <v>137</v>
      </c>
      <c r="D59" s="32">
        <v>40846140</v>
      </c>
      <c r="E59" s="32">
        <v>63910229</v>
      </c>
      <c r="F59" s="32">
        <v>28974284</v>
      </c>
      <c r="G59" s="32">
        <v>28974284</v>
      </c>
    </row>
    <row r="60" spans="1:7" s="33" customFormat="1" x14ac:dyDescent="0.2">
      <c r="A60" s="29" t="s">
        <v>138</v>
      </c>
      <c r="B60" s="30">
        <v>6</v>
      </c>
      <c r="C60" s="29" t="s">
        <v>139</v>
      </c>
      <c r="D60" s="32">
        <v>83299970</v>
      </c>
      <c r="E60" s="32">
        <v>99820272</v>
      </c>
      <c r="F60" s="32">
        <v>46903437</v>
      </c>
      <c r="G60" s="32">
        <v>46903437</v>
      </c>
    </row>
    <row r="61" spans="1:7" x14ac:dyDescent="0.2">
      <c r="A61" s="25" t="s">
        <v>140</v>
      </c>
      <c r="B61" s="26">
        <v>4</v>
      </c>
      <c r="C61" s="25" t="s">
        <v>141</v>
      </c>
      <c r="D61" s="28">
        <v>8925239</v>
      </c>
      <c r="E61" s="28">
        <v>13306587</v>
      </c>
      <c r="F61" s="28">
        <v>1689800</v>
      </c>
      <c r="G61" s="28">
        <v>1689800</v>
      </c>
    </row>
    <row r="62" spans="1:7" s="33" customFormat="1" x14ac:dyDescent="0.2">
      <c r="A62" s="29" t="s">
        <v>142</v>
      </c>
      <c r="B62" s="30">
        <v>6</v>
      </c>
      <c r="C62" s="29" t="s">
        <v>143</v>
      </c>
      <c r="D62" s="32">
        <v>8925239</v>
      </c>
      <c r="E62" s="32">
        <v>13306587</v>
      </c>
      <c r="F62" s="32">
        <v>1689800</v>
      </c>
      <c r="G62" s="32">
        <v>1689800</v>
      </c>
    </row>
    <row r="63" spans="1:7" x14ac:dyDescent="0.2">
      <c r="A63" s="25" t="s">
        <v>144</v>
      </c>
      <c r="B63" s="26">
        <v>4</v>
      </c>
      <c r="C63" s="25" t="s">
        <v>145</v>
      </c>
      <c r="D63" s="28">
        <v>-187588065</v>
      </c>
      <c r="E63" s="28">
        <v>-232274851</v>
      </c>
      <c r="F63" s="28">
        <v>-104643142</v>
      </c>
      <c r="G63" s="28">
        <v>-152047666</v>
      </c>
    </row>
    <row r="64" spans="1:7" s="33" customFormat="1" x14ac:dyDescent="0.2">
      <c r="A64" s="29" t="s">
        <v>146</v>
      </c>
      <c r="B64" s="30">
        <v>6</v>
      </c>
      <c r="C64" s="29" t="s">
        <v>129</v>
      </c>
      <c r="D64" s="32">
        <v>-127235967</v>
      </c>
      <c r="E64" s="32">
        <v>-143907972</v>
      </c>
      <c r="F64" s="32">
        <v>-86050982</v>
      </c>
      <c r="G64" s="32">
        <v>-124193774</v>
      </c>
    </row>
    <row r="65" spans="1:7" s="33" customFormat="1" x14ac:dyDescent="0.2">
      <c r="A65" s="29" t="s">
        <v>147</v>
      </c>
      <c r="B65" s="30">
        <v>6</v>
      </c>
      <c r="C65" s="29" t="s">
        <v>135</v>
      </c>
      <c r="D65" s="32">
        <v>-56521543</v>
      </c>
      <c r="E65" s="32">
        <v>-76718707</v>
      </c>
      <c r="F65" s="32">
        <v>-18521752</v>
      </c>
      <c r="G65" s="32">
        <v>-27713076</v>
      </c>
    </row>
    <row r="66" spans="1:7" s="33" customFormat="1" x14ac:dyDescent="0.2">
      <c r="A66" s="29" t="s">
        <v>148</v>
      </c>
      <c r="B66" s="30">
        <v>6</v>
      </c>
      <c r="C66" s="29" t="s">
        <v>141</v>
      </c>
      <c r="D66" s="32">
        <v>-3830555</v>
      </c>
      <c r="E66" s="32">
        <v>-11648172</v>
      </c>
      <c r="F66" s="32">
        <v>-70408</v>
      </c>
      <c r="G66" s="32">
        <v>-140816</v>
      </c>
    </row>
    <row r="67" spans="1:7" ht="12.75" x14ac:dyDescent="0.2">
      <c r="A67" s="20" t="s">
        <v>149</v>
      </c>
      <c r="B67" s="21">
        <v>2</v>
      </c>
      <c r="C67" s="22" t="s">
        <v>150</v>
      </c>
      <c r="D67" s="23">
        <v>21723586062</v>
      </c>
      <c r="E67" s="23">
        <v>21479798770</v>
      </c>
      <c r="F67" s="23">
        <v>45240369308</v>
      </c>
      <c r="G67" s="23">
        <v>44900408334</v>
      </c>
    </row>
    <row r="68" spans="1:7" x14ac:dyDescent="0.2">
      <c r="A68" s="25" t="s">
        <v>151</v>
      </c>
      <c r="B68" s="26">
        <v>4</v>
      </c>
      <c r="C68" s="25" t="s">
        <v>152</v>
      </c>
      <c r="D68" s="28">
        <v>22240533</v>
      </c>
      <c r="E68" s="28">
        <v>43385273</v>
      </c>
      <c r="F68" s="28">
        <v>0</v>
      </c>
      <c r="G68" s="28">
        <v>0</v>
      </c>
    </row>
    <row r="69" spans="1:7" s="33" customFormat="1" x14ac:dyDescent="0.2">
      <c r="A69" s="29" t="s">
        <v>153</v>
      </c>
      <c r="B69" s="30">
        <v>6</v>
      </c>
      <c r="C69" s="29" t="s">
        <v>154</v>
      </c>
      <c r="D69" s="32">
        <v>22240533</v>
      </c>
      <c r="E69" s="32">
        <v>43385273</v>
      </c>
      <c r="F69" s="32">
        <v>0</v>
      </c>
      <c r="G69" s="32">
        <v>0</v>
      </c>
    </row>
    <row r="70" spans="1:7" x14ac:dyDescent="0.2">
      <c r="A70" s="25" t="s">
        <v>155</v>
      </c>
      <c r="B70" s="26">
        <v>4</v>
      </c>
      <c r="C70" s="25" t="s">
        <v>100</v>
      </c>
      <c r="D70" s="28">
        <v>0</v>
      </c>
      <c r="E70" s="28">
        <v>0</v>
      </c>
      <c r="F70" s="28">
        <v>19413825417</v>
      </c>
      <c r="G70" s="28">
        <v>18070591653</v>
      </c>
    </row>
    <row r="71" spans="1:7" s="33" customFormat="1" x14ac:dyDescent="0.2">
      <c r="A71" s="29" t="s">
        <v>156</v>
      </c>
      <c r="B71" s="30">
        <v>6</v>
      </c>
      <c r="C71" s="36" t="s">
        <v>157</v>
      </c>
      <c r="D71" s="32">
        <v>0</v>
      </c>
      <c r="E71" s="32">
        <v>0</v>
      </c>
      <c r="F71" s="32">
        <v>7074861</v>
      </c>
      <c r="G71" s="32">
        <v>12306481</v>
      </c>
    </row>
    <row r="72" spans="1:7" s="33" customFormat="1" x14ac:dyDescent="0.2">
      <c r="A72" s="29" t="s">
        <v>158</v>
      </c>
      <c r="B72" s="30">
        <v>6</v>
      </c>
      <c r="C72" s="36" t="s">
        <v>104</v>
      </c>
      <c r="D72" s="32">
        <v>0</v>
      </c>
      <c r="E72" s="32">
        <v>0</v>
      </c>
      <c r="F72" s="32">
        <v>19406750556</v>
      </c>
      <c r="G72" s="32">
        <v>18058285172</v>
      </c>
    </row>
    <row r="73" spans="1:7" x14ac:dyDescent="0.2">
      <c r="A73" s="25" t="s">
        <v>159</v>
      </c>
      <c r="B73" s="26">
        <v>4</v>
      </c>
      <c r="C73" s="25" t="s">
        <v>106</v>
      </c>
      <c r="D73" s="28">
        <v>0</v>
      </c>
      <c r="E73" s="28">
        <v>0</v>
      </c>
      <c r="F73" s="28">
        <v>248755665</v>
      </c>
      <c r="G73" s="28">
        <v>303015524</v>
      </c>
    </row>
    <row r="74" spans="1:7" s="33" customFormat="1" x14ac:dyDescent="0.2">
      <c r="A74" s="29" t="s">
        <v>160</v>
      </c>
      <c r="B74" s="30">
        <v>6</v>
      </c>
      <c r="C74" s="36" t="s">
        <v>108</v>
      </c>
      <c r="D74" s="32">
        <v>0</v>
      </c>
      <c r="E74" s="32">
        <v>0</v>
      </c>
      <c r="F74" s="32">
        <v>248755665</v>
      </c>
      <c r="G74" s="32">
        <v>303015524</v>
      </c>
    </row>
    <row r="75" spans="1:7" x14ac:dyDescent="0.2">
      <c r="A75" s="25" t="s">
        <v>161</v>
      </c>
      <c r="B75" s="26">
        <v>4</v>
      </c>
      <c r="C75" s="25" t="s">
        <v>110</v>
      </c>
      <c r="D75" s="28">
        <v>0</v>
      </c>
      <c r="E75" s="28">
        <v>0</v>
      </c>
      <c r="F75" s="28">
        <v>3430105379</v>
      </c>
      <c r="G75" s="28">
        <v>4403460935</v>
      </c>
    </row>
    <row r="76" spans="1:7" s="33" customFormat="1" x14ac:dyDescent="0.2">
      <c r="A76" s="29" t="s">
        <v>162</v>
      </c>
      <c r="B76" s="30">
        <v>6</v>
      </c>
      <c r="C76" s="36" t="s">
        <v>112</v>
      </c>
      <c r="D76" s="32">
        <v>0</v>
      </c>
      <c r="E76" s="32">
        <v>0</v>
      </c>
      <c r="F76" s="32">
        <v>8302080</v>
      </c>
      <c r="G76" s="32">
        <v>8302080</v>
      </c>
    </row>
    <row r="77" spans="1:7" s="33" customFormat="1" x14ac:dyDescent="0.2">
      <c r="A77" s="29" t="s">
        <v>163</v>
      </c>
      <c r="B77" s="30">
        <v>6</v>
      </c>
      <c r="C77" s="36" t="s">
        <v>114</v>
      </c>
      <c r="D77" s="32">
        <v>0</v>
      </c>
      <c r="E77" s="32">
        <v>0</v>
      </c>
      <c r="F77" s="32">
        <v>3421803299</v>
      </c>
      <c r="G77" s="32">
        <v>4395158855</v>
      </c>
    </row>
    <row r="78" spans="1:7" x14ac:dyDescent="0.2">
      <c r="A78" s="25" t="s">
        <v>164</v>
      </c>
      <c r="B78" s="26">
        <v>4</v>
      </c>
      <c r="C78" s="25" t="s">
        <v>165</v>
      </c>
      <c r="D78" s="28">
        <v>367242956</v>
      </c>
      <c r="E78" s="28">
        <v>332283274</v>
      </c>
      <c r="F78" s="28">
        <v>295682847</v>
      </c>
      <c r="G78" s="28">
        <v>271340222</v>
      </c>
    </row>
    <row r="79" spans="1:7" s="33" customFormat="1" x14ac:dyDescent="0.2">
      <c r="A79" s="29" t="s">
        <v>166</v>
      </c>
      <c r="B79" s="30">
        <v>6</v>
      </c>
      <c r="C79" s="29" t="s">
        <v>167</v>
      </c>
      <c r="D79" s="32">
        <v>367242956</v>
      </c>
      <c r="E79" s="32">
        <v>332283274</v>
      </c>
      <c r="F79" s="32">
        <v>295682847</v>
      </c>
      <c r="G79" s="32">
        <v>271340222</v>
      </c>
    </row>
    <row r="80" spans="1:7" x14ac:dyDescent="0.2">
      <c r="A80" s="25" t="s">
        <v>168</v>
      </c>
      <c r="B80" s="26">
        <v>4</v>
      </c>
      <c r="C80" s="25" t="s">
        <v>169</v>
      </c>
      <c r="D80" s="28">
        <v>22002569028</v>
      </c>
      <c r="E80" s="28">
        <v>22015742545</v>
      </c>
      <c r="F80" s="28">
        <v>21852000000</v>
      </c>
      <c r="G80" s="28">
        <v>21852000000</v>
      </c>
    </row>
    <row r="81" spans="1:8" s="33" customFormat="1" x14ac:dyDescent="0.2">
      <c r="A81" s="29" t="s">
        <v>170</v>
      </c>
      <c r="B81" s="30">
        <v>6</v>
      </c>
      <c r="C81" s="36" t="s">
        <v>171</v>
      </c>
      <c r="D81" s="32">
        <v>0</v>
      </c>
      <c r="E81" s="32">
        <v>0</v>
      </c>
      <c r="F81" s="32">
        <v>21852000000</v>
      </c>
      <c r="G81" s="32">
        <v>21852000000</v>
      </c>
    </row>
    <row r="82" spans="1:8" x14ac:dyDescent="0.2">
      <c r="A82" s="25" t="s">
        <v>172</v>
      </c>
      <c r="B82" s="26">
        <v>4</v>
      </c>
      <c r="C82" s="25" t="s">
        <v>173</v>
      </c>
      <c r="D82" s="28">
        <v>-668466455</v>
      </c>
      <c r="E82" s="28">
        <v>-911612322</v>
      </c>
      <c r="F82" s="28">
        <v>0</v>
      </c>
      <c r="G82" s="28">
        <v>0</v>
      </c>
    </row>
    <row r="83" spans="1:8" s="16" customFormat="1" ht="15" x14ac:dyDescent="0.25">
      <c r="A83" s="17" t="s">
        <v>174</v>
      </c>
      <c r="B83" s="18">
        <v>1</v>
      </c>
      <c r="C83" s="17" t="s">
        <v>175</v>
      </c>
      <c r="D83" s="19">
        <v>359546196656</v>
      </c>
      <c r="E83" s="19">
        <v>522189162208</v>
      </c>
      <c r="F83" s="19">
        <v>983909878171.19678</v>
      </c>
      <c r="G83" s="19">
        <v>975820431517.19678</v>
      </c>
      <c r="H83" s="16">
        <v>-1</v>
      </c>
    </row>
    <row r="84" spans="1:8" ht="12.75" x14ac:dyDescent="0.2">
      <c r="A84" s="20" t="s">
        <v>176</v>
      </c>
      <c r="B84" s="21">
        <v>2</v>
      </c>
      <c r="C84" s="22" t="s">
        <v>177</v>
      </c>
      <c r="D84" s="23">
        <v>23586277715</v>
      </c>
      <c r="E84" s="23">
        <v>0</v>
      </c>
      <c r="F84" s="23">
        <v>11000000000</v>
      </c>
      <c r="G84" s="23">
        <v>1680379586</v>
      </c>
    </row>
    <row r="85" spans="1:8" x14ac:dyDescent="0.2">
      <c r="A85" s="25" t="s">
        <v>178</v>
      </c>
      <c r="B85" s="26">
        <v>4</v>
      </c>
      <c r="C85" s="25" t="s">
        <v>179</v>
      </c>
      <c r="D85" s="114">
        <v>23586277715</v>
      </c>
      <c r="E85" s="28">
        <v>0</v>
      </c>
      <c r="F85" s="28">
        <v>11000000000</v>
      </c>
      <c r="G85" s="28">
        <v>1680379586</v>
      </c>
    </row>
    <row r="86" spans="1:8" s="33" customFormat="1" x14ac:dyDescent="0.2">
      <c r="A86" s="29" t="s">
        <v>180</v>
      </c>
      <c r="B86" s="30">
        <v>6</v>
      </c>
      <c r="C86" s="29" t="s">
        <v>181</v>
      </c>
      <c r="D86" s="113">
        <v>23586277715</v>
      </c>
      <c r="E86" s="32">
        <v>0</v>
      </c>
      <c r="F86" s="32">
        <v>11000000000</v>
      </c>
      <c r="G86" s="32">
        <v>1680379586</v>
      </c>
    </row>
    <row r="87" spans="1:8" ht="12.75" x14ac:dyDescent="0.2">
      <c r="A87" s="20" t="s">
        <v>182</v>
      </c>
      <c r="B87" s="21">
        <v>2</v>
      </c>
      <c r="C87" s="22" t="s">
        <v>183</v>
      </c>
      <c r="D87" s="23">
        <v>11106145316</v>
      </c>
      <c r="E87" s="23">
        <v>10640112451</v>
      </c>
      <c r="F87" s="23">
        <v>641941572086</v>
      </c>
      <c r="G87" s="23">
        <v>656930453652</v>
      </c>
    </row>
    <row r="88" spans="1:8" x14ac:dyDescent="0.2">
      <c r="A88" s="25" t="s">
        <v>184</v>
      </c>
      <c r="B88" s="26">
        <v>4</v>
      </c>
      <c r="C88" s="25" t="s">
        <v>185</v>
      </c>
      <c r="D88" s="28">
        <v>852548282</v>
      </c>
      <c r="E88" s="28">
        <v>925464709</v>
      </c>
      <c r="F88" s="28">
        <v>724582586</v>
      </c>
      <c r="G88" s="28">
        <v>1502319742</v>
      </c>
    </row>
    <row r="89" spans="1:8" s="33" customFormat="1" x14ac:dyDescent="0.2">
      <c r="A89" s="29" t="s">
        <v>186</v>
      </c>
      <c r="B89" s="30">
        <v>6</v>
      </c>
      <c r="C89" s="29" t="s">
        <v>187</v>
      </c>
      <c r="D89" s="32">
        <v>852548282</v>
      </c>
      <c r="E89" s="32">
        <v>925464709</v>
      </c>
      <c r="F89" s="32">
        <v>724582586</v>
      </c>
      <c r="G89" s="32">
        <v>1502319742</v>
      </c>
    </row>
    <row r="90" spans="1:8" x14ac:dyDescent="0.2">
      <c r="A90" s="25" t="s">
        <v>188</v>
      </c>
      <c r="B90" s="26">
        <v>4</v>
      </c>
      <c r="C90" s="25" t="s">
        <v>189</v>
      </c>
      <c r="D90" s="28">
        <v>0</v>
      </c>
      <c r="E90" s="28">
        <v>0</v>
      </c>
      <c r="F90" s="28">
        <v>222819082</v>
      </c>
      <c r="G90" s="28">
        <v>247511870</v>
      </c>
    </row>
    <row r="91" spans="1:8" s="33" customFormat="1" x14ac:dyDescent="0.2">
      <c r="A91" s="29" t="s">
        <v>190</v>
      </c>
      <c r="B91" s="30">
        <v>6</v>
      </c>
      <c r="C91" s="36" t="s">
        <v>191</v>
      </c>
      <c r="D91" s="32">
        <v>0</v>
      </c>
      <c r="E91" s="32">
        <v>0</v>
      </c>
      <c r="F91" s="32">
        <v>73013446</v>
      </c>
      <c r="G91" s="32">
        <v>81492139</v>
      </c>
    </row>
    <row r="92" spans="1:8" s="33" customFormat="1" x14ac:dyDescent="0.2">
      <c r="A92" s="29" t="s">
        <v>192</v>
      </c>
      <c r="B92" s="30">
        <v>6</v>
      </c>
      <c r="C92" s="36" t="s">
        <v>193</v>
      </c>
      <c r="D92" s="32">
        <v>0</v>
      </c>
      <c r="E92" s="32">
        <v>0</v>
      </c>
      <c r="F92" s="32">
        <v>65211829</v>
      </c>
      <c r="G92" s="32">
        <v>72180007</v>
      </c>
    </row>
    <row r="93" spans="1:8" s="33" customFormat="1" x14ac:dyDescent="0.2">
      <c r="A93" s="29" t="s">
        <v>194</v>
      </c>
      <c r="B93" s="30">
        <v>6</v>
      </c>
      <c r="C93" s="36" t="s">
        <v>195</v>
      </c>
      <c r="D93" s="32">
        <v>0</v>
      </c>
      <c r="E93" s="32">
        <v>0</v>
      </c>
      <c r="F93" s="32">
        <v>35127596</v>
      </c>
      <c r="G93" s="32">
        <v>41565609</v>
      </c>
    </row>
    <row r="94" spans="1:8" s="33" customFormat="1" x14ac:dyDescent="0.2">
      <c r="A94" s="29" t="s">
        <v>196</v>
      </c>
      <c r="B94" s="30">
        <v>6</v>
      </c>
      <c r="C94" s="36" t="s">
        <v>197</v>
      </c>
      <c r="D94" s="32">
        <v>0</v>
      </c>
      <c r="E94" s="32">
        <v>0</v>
      </c>
      <c r="F94" s="32">
        <v>25657540</v>
      </c>
      <c r="G94" s="32">
        <v>32619666</v>
      </c>
    </row>
    <row r="95" spans="1:8" s="33" customFormat="1" x14ac:dyDescent="0.2">
      <c r="A95" s="29" t="s">
        <v>198</v>
      </c>
      <c r="B95" s="30">
        <v>6</v>
      </c>
      <c r="C95" s="36" t="s">
        <v>199</v>
      </c>
      <c r="D95" s="32">
        <v>0</v>
      </c>
      <c r="E95" s="32">
        <v>0</v>
      </c>
      <c r="F95" s="32">
        <v>1087587</v>
      </c>
      <c r="G95" s="32">
        <v>1565457</v>
      </c>
    </row>
    <row r="96" spans="1:8" s="33" customFormat="1" x14ac:dyDescent="0.2">
      <c r="A96" s="29" t="s">
        <v>200</v>
      </c>
      <c r="B96" s="30">
        <v>6</v>
      </c>
      <c r="C96" s="36" t="s">
        <v>201</v>
      </c>
      <c r="D96" s="32">
        <v>0</v>
      </c>
      <c r="E96" s="32">
        <v>0</v>
      </c>
      <c r="F96" s="32">
        <v>7361084</v>
      </c>
      <c r="G96" s="32">
        <v>3388992</v>
      </c>
    </row>
    <row r="97" spans="1:7" s="33" customFormat="1" x14ac:dyDescent="0.2">
      <c r="A97" s="29" t="s">
        <v>202</v>
      </c>
      <c r="B97" s="30">
        <v>6</v>
      </c>
      <c r="C97" s="36" t="s">
        <v>203</v>
      </c>
      <c r="D97" s="32">
        <v>0</v>
      </c>
      <c r="E97" s="32">
        <v>0</v>
      </c>
      <c r="F97" s="32">
        <v>15360000</v>
      </c>
      <c r="G97" s="32">
        <v>14700000</v>
      </c>
    </row>
    <row r="98" spans="1:7" x14ac:dyDescent="0.2">
      <c r="A98" s="25" t="s">
        <v>204</v>
      </c>
      <c r="B98" s="26">
        <v>4</v>
      </c>
      <c r="C98" s="25" t="s">
        <v>205</v>
      </c>
      <c r="D98" s="28">
        <v>8569125292</v>
      </c>
      <c r="E98" s="28">
        <v>7107690116</v>
      </c>
      <c r="F98" s="28">
        <v>0</v>
      </c>
      <c r="G98" s="28">
        <v>0</v>
      </c>
    </row>
    <row r="99" spans="1:7" s="33" customFormat="1" x14ac:dyDescent="0.2">
      <c r="A99" s="29" t="s">
        <v>206</v>
      </c>
      <c r="B99" s="30">
        <v>6</v>
      </c>
      <c r="C99" s="29" t="s">
        <v>207</v>
      </c>
      <c r="D99" s="32">
        <v>53939008</v>
      </c>
      <c r="E99" s="32">
        <v>3375338</v>
      </c>
      <c r="F99" s="32">
        <v>0</v>
      </c>
      <c r="G99" s="32">
        <v>0</v>
      </c>
    </row>
    <row r="100" spans="1:7" s="33" customFormat="1" x14ac:dyDescent="0.2">
      <c r="A100" s="29" t="s">
        <v>208</v>
      </c>
      <c r="B100" s="30">
        <v>6</v>
      </c>
      <c r="C100" s="29" t="s">
        <v>209</v>
      </c>
      <c r="D100" s="32">
        <v>18227858</v>
      </c>
      <c r="E100" s="32">
        <v>264415121</v>
      </c>
      <c r="F100" s="32">
        <v>0</v>
      </c>
      <c r="G100" s="32">
        <v>0</v>
      </c>
    </row>
    <row r="101" spans="1:7" s="33" customFormat="1" x14ac:dyDescent="0.2">
      <c r="A101" s="29" t="s">
        <v>210</v>
      </c>
      <c r="B101" s="30">
        <v>6</v>
      </c>
      <c r="C101" s="29" t="s">
        <v>211</v>
      </c>
      <c r="D101" s="32">
        <v>2060548</v>
      </c>
      <c r="E101" s="32">
        <v>920868</v>
      </c>
      <c r="F101" s="32">
        <v>0</v>
      </c>
      <c r="G101" s="32">
        <v>0</v>
      </c>
    </row>
    <row r="102" spans="1:7" s="33" customFormat="1" x14ac:dyDescent="0.2">
      <c r="A102" s="29" t="s">
        <v>212</v>
      </c>
      <c r="B102" s="30">
        <v>6</v>
      </c>
      <c r="C102" s="29" t="s">
        <v>191</v>
      </c>
      <c r="D102" s="32">
        <v>113519689</v>
      </c>
      <c r="E102" s="32">
        <v>143770709</v>
      </c>
      <c r="F102" s="32">
        <v>0</v>
      </c>
      <c r="G102" s="32">
        <v>0</v>
      </c>
    </row>
    <row r="103" spans="1:7" s="33" customFormat="1" x14ac:dyDescent="0.2">
      <c r="A103" s="29" t="s">
        <v>213</v>
      </c>
      <c r="B103" s="30">
        <v>6</v>
      </c>
      <c r="C103" s="29" t="s">
        <v>193</v>
      </c>
      <c r="D103" s="32">
        <v>86928927</v>
      </c>
      <c r="E103" s="32">
        <v>112616219</v>
      </c>
      <c r="F103" s="32">
        <v>0</v>
      </c>
      <c r="G103" s="32">
        <v>0</v>
      </c>
    </row>
    <row r="104" spans="1:7" s="33" customFormat="1" x14ac:dyDescent="0.2">
      <c r="A104" s="29" t="s">
        <v>214</v>
      </c>
      <c r="B104" s="30">
        <v>6</v>
      </c>
      <c r="C104" s="29" t="s">
        <v>215</v>
      </c>
      <c r="D104" s="32">
        <v>61539300</v>
      </c>
      <c r="E104" s="32">
        <v>77001200</v>
      </c>
      <c r="F104" s="32">
        <v>0</v>
      </c>
      <c r="G104" s="32">
        <v>0</v>
      </c>
    </row>
    <row r="105" spans="1:7" s="33" customFormat="1" x14ac:dyDescent="0.2">
      <c r="A105" s="29" t="s">
        <v>216</v>
      </c>
      <c r="B105" s="30">
        <v>6</v>
      </c>
      <c r="C105" s="29" t="s">
        <v>217</v>
      </c>
      <c r="D105" s="32">
        <v>697216</v>
      </c>
      <c r="E105" s="32">
        <v>14787837</v>
      </c>
      <c r="F105" s="32">
        <v>0</v>
      </c>
      <c r="G105" s="32">
        <v>0</v>
      </c>
    </row>
    <row r="106" spans="1:7" s="33" customFormat="1" x14ac:dyDescent="0.2">
      <c r="A106" s="29" t="s">
        <v>218</v>
      </c>
      <c r="B106" s="30">
        <v>6</v>
      </c>
      <c r="C106" s="29" t="s">
        <v>201</v>
      </c>
      <c r="D106" s="32">
        <v>2330896</v>
      </c>
      <c r="E106" s="32">
        <v>6261652</v>
      </c>
      <c r="F106" s="32">
        <v>0</v>
      </c>
      <c r="G106" s="32">
        <v>0</v>
      </c>
    </row>
    <row r="107" spans="1:7" s="33" customFormat="1" x14ac:dyDescent="0.2">
      <c r="A107" s="29" t="s">
        <v>219</v>
      </c>
      <c r="B107" s="30">
        <v>6</v>
      </c>
      <c r="C107" s="29" t="s">
        <v>220</v>
      </c>
      <c r="D107" s="32">
        <v>3547300</v>
      </c>
      <c r="E107" s="32">
        <v>12606890</v>
      </c>
      <c r="F107" s="32">
        <v>0</v>
      </c>
      <c r="G107" s="32">
        <v>0</v>
      </c>
    </row>
    <row r="108" spans="1:7" s="33" customFormat="1" x14ac:dyDescent="0.2">
      <c r="A108" s="29" t="s">
        <v>221</v>
      </c>
      <c r="B108" s="30">
        <v>6</v>
      </c>
      <c r="C108" s="29" t="s">
        <v>197</v>
      </c>
      <c r="D108" s="32">
        <v>11733200</v>
      </c>
      <c r="E108" s="32">
        <v>4632254</v>
      </c>
      <c r="F108" s="32">
        <v>0</v>
      </c>
      <c r="G108" s="32">
        <v>0</v>
      </c>
    </row>
    <row r="109" spans="1:7" s="33" customFormat="1" x14ac:dyDescent="0.2">
      <c r="A109" s="29" t="s">
        <v>222</v>
      </c>
      <c r="B109" s="30">
        <v>6</v>
      </c>
      <c r="C109" s="29" t="s">
        <v>223</v>
      </c>
      <c r="D109" s="32">
        <v>5399887221</v>
      </c>
      <c r="E109" s="32">
        <v>5236067980</v>
      </c>
      <c r="F109" s="32">
        <v>0</v>
      </c>
      <c r="G109" s="32">
        <v>0</v>
      </c>
    </row>
    <row r="110" spans="1:7" s="33" customFormat="1" x14ac:dyDescent="0.2">
      <c r="A110" s="29" t="s">
        <v>224</v>
      </c>
      <c r="B110" s="30">
        <v>6</v>
      </c>
      <c r="C110" s="29" t="s">
        <v>225</v>
      </c>
      <c r="D110" s="32">
        <v>24816049</v>
      </c>
      <c r="E110" s="32">
        <v>645358860</v>
      </c>
      <c r="F110" s="32">
        <v>0</v>
      </c>
      <c r="G110" s="32">
        <v>0</v>
      </c>
    </row>
    <row r="111" spans="1:7" s="33" customFormat="1" x14ac:dyDescent="0.2">
      <c r="A111" s="29" t="s">
        <v>226</v>
      </c>
      <c r="B111" s="30">
        <v>6</v>
      </c>
      <c r="C111" s="29" t="s">
        <v>227</v>
      </c>
      <c r="D111" s="32">
        <v>2789898080</v>
      </c>
      <c r="E111" s="32">
        <v>585875188</v>
      </c>
      <c r="F111" s="32">
        <v>0</v>
      </c>
      <c r="G111" s="32">
        <v>0</v>
      </c>
    </row>
    <row r="112" spans="1:7" x14ac:dyDescent="0.2">
      <c r="A112" s="25" t="s">
        <v>228</v>
      </c>
      <c r="B112" s="26">
        <v>4</v>
      </c>
      <c r="C112" s="25" t="s">
        <v>229</v>
      </c>
      <c r="D112" s="28">
        <v>1244790584</v>
      </c>
      <c r="E112" s="28">
        <v>1446776603</v>
      </c>
      <c r="F112" s="28">
        <v>752821057</v>
      </c>
      <c r="G112" s="28">
        <v>1203088704</v>
      </c>
    </row>
    <row r="113" spans="1:7" s="33" customFormat="1" x14ac:dyDescent="0.2">
      <c r="A113" s="29" t="s">
        <v>230</v>
      </c>
      <c r="B113" s="30">
        <v>6</v>
      </c>
      <c r="C113" s="29" t="s">
        <v>223</v>
      </c>
      <c r="D113" s="32">
        <v>1074448607</v>
      </c>
      <c r="E113" s="32">
        <v>1118475144</v>
      </c>
      <c r="F113" s="32">
        <v>523220257</v>
      </c>
      <c r="G113" s="32">
        <v>995821476</v>
      </c>
    </row>
    <row r="114" spans="1:7" s="33" customFormat="1" x14ac:dyDescent="0.2">
      <c r="A114" s="29" t="s">
        <v>231</v>
      </c>
      <c r="B114" s="30">
        <v>6</v>
      </c>
      <c r="C114" s="29" t="s">
        <v>232</v>
      </c>
      <c r="D114" s="32">
        <v>151510</v>
      </c>
      <c r="E114" s="32">
        <v>0</v>
      </c>
      <c r="F114" s="32">
        <v>0</v>
      </c>
      <c r="G114" s="32">
        <v>0</v>
      </c>
    </row>
    <row r="115" spans="1:7" s="33" customFormat="1" x14ac:dyDescent="0.2">
      <c r="A115" s="29" t="s">
        <v>233</v>
      </c>
      <c r="B115" s="30">
        <v>6</v>
      </c>
      <c r="C115" s="29" t="s">
        <v>225</v>
      </c>
      <c r="D115" s="32">
        <v>110702126</v>
      </c>
      <c r="E115" s="32">
        <v>236155270</v>
      </c>
      <c r="F115" s="32">
        <v>140577387</v>
      </c>
      <c r="G115" s="32">
        <v>144359148</v>
      </c>
    </row>
    <row r="116" spans="1:7" s="33" customFormat="1" x14ac:dyDescent="0.2">
      <c r="A116" s="29" t="s">
        <v>234</v>
      </c>
      <c r="B116" s="30">
        <v>6</v>
      </c>
      <c r="C116" s="29" t="s">
        <v>209</v>
      </c>
      <c r="D116" s="32">
        <v>3968133</v>
      </c>
      <c r="E116" s="32">
        <v>8384390</v>
      </c>
      <c r="F116" s="32">
        <v>10142025</v>
      </c>
      <c r="G116" s="32">
        <v>7314459</v>
      </c>
    </row>
    <row r="117" spans="1:7" s="33" customFormat="1" x14ac:dyDescent="0.2">
      <c r="A117" s="29" t="s">
        <v>235</v>
      </c>
      <c r="B117" s="30">
        <v>6</v>
      </c>
      <c r="C117" s="29" t="s">
        <v>236</v>
      </c>
      <c r="D117" s="32">
        <v>2296433</v>
      </c>
      <c r="E117" s="32">
        <v>12064068</v>
      </c>
      <c r="F117" s="32">
        <v>13707646</v>
      </c>
      <c r="G117" s="32">
        <v>8101371</v>
      </c>
    </row>
    <row r="118" spans="1:7" s="33" customFormat="1" x14ac:dyDescent="0.2">
      <c r="A118" s="29" t="s">
        <v>237</v>
      </c>
      <c r="B118" s="30">
        <v>6</v>
      </c>
      <c r="C118" s="29" t="s">
        <v>238</v>
      </c>
      <c r="D118" s="32">
        <v>30895453</v>
      </c>
      <c r="E118" s="32">
        <v>36965747</v>
      </c>
      <c r="F118" s="32">
        <v>32454600</v>
      </c>
      <c r="G118" s="32">
        <v>25588600</v>
      </c>
    </row>
    <row r="119" spans="1:7" s="33" customFormat="1" x14ac:dyDescent="0.2">
      <c r="A119" s="29" t="s">
        <v>239</v>
      </c>
      <c r="B119" s="30">
        <v>6</v>
      </c>
      <c r="C119" s="29" t="s">
        <v>240</v>
      </c>
      <c r="D119" s="32">
        <v>19501398</v>
      </c>
      <c r="E119" s="32">
        <v>29888443</v>
      </c>
      <c r="F119" s="32">
        <v>28497940</v>
      </c>
      <c r="G119" s="32">
        <v>19907415</v>
      </c>
    </row>
    <row r="120" spans="1:7" s="33" customFormat="1" x14ac:dyDescent="0.2">
      <c r="A120" s="29" t="s">
        <v>241</v>
      </c>
      <c r="B120" s="30">
        <v>6</v>
      </c>
      <c r="C120" s="29" t="s">
        <v>242</v>
      </c>
      <c r="D120" s="32">
        <v>2826924</v>
      </c>
      <c r="E120" s="32">
        <v>4843541</v>
      </c>
      <c r="F120" s="32">
        <v>4221202</v>
      </c>
      <c r="G120" s="32">
        <v>1996235</v>
      </c>
    </row>
    <row r="121" spans="1:7" x14ac:dyDescent="0.2">
      <c r="A121" s="25" t="s">
        <v>243</v>
      </c>
      <c r="B121" s="26">
        <v>4</v>
      </c>
      <c r="C121" s="25" t="s">
        <v>244</v>
      </c>
      <c r="D121" s="28">
        <v>178025591</v>
      </c>
      <c r="E121" s="28">
        <v>111834861</v>
      </c>
      <c r="F121" s="28">
        <v>0</v>
      </c>
      <c r="G121" s="28">
        <v>0</v>
      </c>
    </row>
    <row r="122" spans="1:7" s="33" customFormat="1" x14ac:dyDescent="0.2">
      <c r="A122" s="29" t="s">
        <v>245</v>
      </c>
      <c r="B122" s="30">
        <v>6</v>
      </c>
      <c r="C122" s="29" t="s">
        <v>246</v>
      </c>
      <c r="D122" s="32">
        <v>178025591</v>
      </c>
      <c r="E122" s="32">
        <v>111834861</v>
      </c>
      <c r="F122" s="32">
        <v>0</v>
      </c>
      <c r="G122" s="32">
        <v>0</v>
      </c>
    </row>
    <row r="123" spans="1:7" x14ac:dyDescent="0.2">
      <c r="A123" s="25" t="s">
        <v>247</v>
      </c>
      <c r="B123" s="26">
        <v>4</v>
      </c>
      <c r="C123" s="25" t="s">
        <v>248</v>
      </c>
      <c r="D123" s="28">
        <v>261655567</v>
      </c>
      <c r="E123" s="28">
        <v>1048346162</v>
      </c>
      <c r="F123" s="28">
        <v>2167310701</v>
      </c>
      <c r="G123" s="28">
        <v>2840377401</v>
      </c>
    </row>
    <row r="124" spans="1:7" s="33" customFormat="1" x14ac:dyDescent="0.2">
      <c r="A124" s="29" t="s">
        <v>249</v>
      </c>
      <c r="B124" s="30">
        <v>6</v>
      </c>
      <c r="C124" s="29" t="s">
        <v>250</v>
      </c>
      <c r="D124" s="32">
        <v>260336026</v>
      </c>
      <c r="E124" s="32">
        <v>1043086367</v>
      </c>
      <c r="F124" s="32">
        <v>1344795116</v>
      </c>
      <c r="G124" s="32">
        <v>1205282951</v>
      </c>
    </row>
    <row r="125" spans="1:7" s="33" customFormat="1" x14ac:dyDescent="0.2">
      <c r="A125" s="29" t="s">
        <v>251</v>
      </c>
      <c r="B125" s="30">
        <v>6</v>
      </c>
      <c r="C125" s="29" t="s">
        <v>252</v>
      </c>
      <c r="D125" s="32">
        <v>1319541</v>
      </c>
      <c r="E125" s="32">
        <v>5259795</v>
      </c>
      <c r="F125" s="32">
        <v>8961363</v>
      </c>
      <c r="G125" s="32">
        <v>10783470</v>
      </c>
    </row>
    <row r="126" spans="1:7" s="33" customFormat="1" x14ac:dyDescent="0.2">
      <c r="A126" s="29" t="s">
        <v>253</v>
      </c>
      <c r="B126" s="30">
        <v>6</v>
      </c>
      <c r="C126" s="29" t="s">
        <v>254</v>
      </c>
      <c r="D126" s="32">
        <v>0</v>
      </c>
      <c r="E126" s="32">
        <v>0</v>
      </c>
      <c r="F126" s="32">
        <v>813554222</v>
      </c>
      <c r="G126" s="32">
        <v>1624310980</v>
      </c>
    </row>
    <row r="127" spans="1:7" x14ac:dyDescent="0.2">
      <c r="A127" s="25" t="s">
        <v>255</v>
      </c>
      <c r="B127" s="26">
        <v>4</v>
      </c>
      <c r="C127" s="25" t="s">
        <v>256</v>
      </c>
      <c r="D127" s="28">
        <v>0</v>
      </c>
      <c r="E127" s="28">
        <v>0</v>
      </c>
      <c r="F127" s="28">
        <v>632774601960</v>
      </c>
      <c r="G127" s="28">
        <v>646093054781</v>
      </c>
    </row>
    <row r="128" spans="1:7" s="33" customFormat="1" x14ac:dyDescent="0.2">
      <c r="A128" s="29" t="s">
        <v>257</v>
      </c>
      <c r="B128" s="30">
        <v>6</v>
      </c>
      <c r="C128" s="29" t="s">
        <v>258</v>
      </c>
      <c r="D128" s="32">
        <v>0</v>
      </c>
      <c r="E128" s="32">
        <v>0</v>
      </c>
      <c r="F128" s="32">
        <v>2914054491</v>
      </c>
      <c r="G128" s="32">
        <v>3651530408</v>
      </c>
    </row>
    <row r="129" spans="1:7" s="33" customFormat="1" x14ac:dyDescent="0.2">
      <c r="A129" s="29" t="s">
        <v>259</v>
      </c>
      <c r="B129" s="30">
        <v>6</v>
      </c>
      <c r="C129" s="36" t="s">
        <v>260</v>
      </c>
      <c r="D129" s="32">
        <v>0</v>
      </c>
      <c r="E129" s="32">
        <v>0</v>
      </c>
      <c r="F129" s="32">
        <v>2396509339</v>
      </c>
      <c r="G129" s="32">
        <v>11840248323</v>
      </c>
    </row>
    <row r="130" spans="1:7" s="33" customFormat="1" x14ac:dyDescent="0.2">
      <c r="A130" s="29" t="s">
        <v>261</v>
      </c>
      <c r="B130" s="30">
        <v>6</v>
      </c>
      <c r="C130" s="36" t="s">
        <v>262</v>
      </c>
      <c r="D130" s="32">
        <v>0</v>
      </c>
      <c r="E130" s="32">
        <v>0</v>
      </c>
      <c r="F130" s="32">
        <v>351153109</v>
      </c>
      <c r="G130" s="32">
        <v>402932558</v>
      </c>
    </row>
    <row r="131" spans="1:7" s="33" customFormat="1" x14ac:dyDescent="0.2">
      <c r="A131" s="29" t="s">
        <v>263</v>
      </c>
      <c r="B131" s="30">
        <v>6</v>
      </c>
      <c r="C131" s="36" t="s">
        <v>264</v>
      </c>
      <c r="D131" s="32">
        <v>0</v>
      </c>
      <c r="E131" s="32">
        <v>0</v>
      </c>
      <c r="F131" s="32">
        <v>39000834968</v>
      </c>
      <c r="G131" s="32">
        <v>43637792926</v>
      </c>
    </row>
    <row r="132" spans="1:7" s="33" customFormat="1" x14ac:dyDescent="0.2">
      <c r="A132" s="29" t="s">
        <v>265</v>
      </c>
      <c r="B132" s="30">
        <v>6</v>
      </c>
      <c r="C132" s="36" t="s">
        <v>266</v>
      </c>
      <c r="D132" s="32">
        <v>0</v>
      </c>
      <c r="E132" s="32">
        <v>0</v>
      </c>
      <c r="F132" s="32">
        <v>481699725130</v>
      </c>
      <c r="G132" s="32">
        <v>503920115761</v>
      </c>
    </row>
    <row r="133" spans="1:7" s="33" customFormat="1" x14ac:dyDescent="0.2">
      <c r="A133" s="29" t="s">
        <v>267</v>
      </c>
      <c r="B133" s="30">
        <v>6</v>
      </c>
      <c r="C133" s="36" t="s">
        <v>268</v>
      </c>
      <c r="D133" s="32">
        <v>0</v>
      </c>
      <c r="E133" s="32">
        <v>0</v>
      </c>
      <c r="F133" s="32">
        <v>104611169147</v>
      </c>
      <c r="G133" s="32">
        <v>81542846648</v>
      </c>
    </row>
    <row r="134" spans="1:7" s="33" customFormat="1" x14ac:dyDescent="0.2">
      <c r="A134" s="29" t="s">
        <v>269</v>
      </c>
      <c r="B134" s="30">
        <v>6</v>
      </c>
      <c r="C134" s="36" t="s">
        <v>270</v>
      </c>
      <c r="D134" s="32">
        <v>0</v>
      </c>
      <c r="E134" s="32">
        <v>0</v>
      </c>
      <c r="F134" s="32">
        <v>1801155776</v>
      </c>
      <c r="G134" s="32">
        <v>1097588157</v>
      </c>
    </row>
    <row r="135" spans="1:7" x14ac:dyDescent="0.2">
      <c r="A135" s="25" t="s">
        <v>271</v>
      </c>
      <c r="B135" s="26">
        <v>4</v>
      </c>
      <c r="C135" s="25" t="s">
        <v>272</v>
      </c>
      <c r="D135" s="28">
        <v>0</v>
      </c>
      <c r="E135" s="28">
        <v>0</v>
      </c>
      <c r="F135" s="28">
        <v>5299436700</v>
      </c>
      <c r="G135" s="28">
        <v>5044101154</v>
      </c>
    </row>
    <row r="136" spans="1:7" s="33" customFormat="1" x14ac:dyDescent="0.2">
      <c r="A136" s="29" t="s">
        <v>273</v>
      </c>
      <c r="B136" s="30">
        <v>6</v>
      </c>
      <c r="C136" s="36" t="s">
        <v>274</v>
      </c>
      <c r="D136" s="32">
        <v>0</v>
      </c>
      <c r="E136" s="32">
        <v>0</v>
      </c>
      <c r="F136" s="32">
        <v>255827480</v>
      </c>
      <c r="G136" s="32">
        <v>250243936</v>
      </c>
    </row>
    <row r="137" spans="1:7" s="33" customFormat="1" x14ac:dyDescent="0.2">
      <c r="A137" s="29" t="s">
        <v>275</v>
      </c>
      <c r="B137" s="30">
        <v>6</v>
      </c>
      <c r="C137" s="36" t="s">
        <v>211</v>
      </c>
      <c r="D137" s="32">
        <v>0</v>
      </c>
      <c r="E137" s="32">
        <v>0</v>
      </c>
      <c r="F137" s="32">
        <v>850251</v>
      </c>
      <c r="G137" s="32">
        <v>2077035</v>
      </c>
    </row>
    <row r="138" spans="1:7" s="33" customFormat="1" x14ac:dyDescent="0.2">
      <c r="A138" s="29" t="s">
        <v>276</v>
      </c>
      <c r="B138" s="30">
        <v>6</v>
      </c>
      <c r="C138" s="36" t="s">
        <v>277</v>
      </c>
      <c r="D138" s="32">
        <v>0</v>
      </c>
      <c r="E138" s="32">
        <v>0</v>
      </c>
      <c r="F138" s="32">
        <v>0</v>
      </c>
      <c r="G138" s="32">
        <v>183899</v>
      </c>
    </row>
    <row r="139" spans="1:7" s="33" customFormat="1" x14ac:dyDescent="0.2">
      <c r="A139" s="29" t="s">
        <v>278</v>
      </c>
      <c r="B139" s="30">
        <v>6</v>
      </c>
      <c r="C139" s="36" t="s">
        <v>279</v>
      </c>
      <c r="D139" s="32">
        <v>0</v>
      </c>
      <c r="E139" s="32">
        <v>0</v>
      </c>
      <c r="F139" s="32">
        <v>80907200</v>
      </c>
      <c r="G139" s="32">
        <v>91147600</v>
      </c>
    </row>
    <row r="140" spans="1:7" s="33" customFormat="1" x14ac:dyDescent="0.2">
      <c r="A140" s="29" t="s">
        <v>280</v>
      </c>
      <c r="B140" s="30">
        <v>6</v>
      </c>
      <c r="C140" s="36" t="s">
        <v>207</v>
      </c>
      <c r="D140" s="32">
        <v>0</v>
      </c>
      <c r="E140" s="32">
        <v>0</v>
      </c>
      <c r="F140" s="32">
        <v>18772510</v>
      </c>
      <c r="G140" s="32">
        <v>21516580</v>
      </c>
    </row>
    <row r="141" spans="1:7" s="33" customFormat="1" x14ac:dyDescent="0.2">
      <c r="A141" s="29" t="s">
        <v>281</v>
      </c>
      <c r="B141" s="30">
        <v>6</v>
      </c>
      <c r="C141" s="36" t="s">
        <v>223</v>
      </c>
      <c r="D141" s="32">
        <v>0</v>
      </c>
      <c r="E141" s="32">
        <v>0</v>
      </c>
      <c r="F141" s="32">
        <v>4224151925</v>
      </c>
      <c r="G141" s="32">
        <v>4001602932</v>
      </c>
    </row>
    <row r="142" spans="1:7" s="33" customFormat="1" x14ac:dyDescent="0.2">
      <c r="A142" s="29" t="s">
        <v>282</v>
      </c>
      <c r="B142" s="30">
        <v>6</v>
      </c>
      <c r="C142" s="36" t="s">
        <v>225</v>
      </c>
      <c r="D142" s="32">
        <v>0</v>
      </c>
      <c r="E142" s="32">
        <v>0</v>
      </c>
      <c r="F142" s="32">
        <v>505570495</v>
      </c>
      <c r="G142" s="32">
        <v>505054719</v>
      </c>
    </row>
    <row r="143" spans="1:7" s="33" customFormat="1" x14ac:dyDescent="0.2">
      <c r="A143" s="29" t="s">
        <v>283</v>
      </c>
      <c r="B143" s="30">
        <v>6</v>
      </c>
      <c r="C143" s="36" t="s">
        <v>284</v>
      </c>
      <c r="D143" s="32">
        <v>0</v>
      </c>
      <c r="E143" s="32">
        <v>0</v>
      </c>
      <c r="F143" s="32">
        <v>213356839</v>
      </c>
      <c r="G143" s="32">
        <v>172274453</v>
      </c>
    </row>
    <row r="144" spans="1:7" ht="12.75" x14ac:dyDescent="0.2">
      <c r="A144" s="20" t="s">
        <v>285</v>
      </c>
      <c r="B144" s="21">
        <v>2</v>
      </c>
      <c r="C144" s="22" t="s">
        <v>286</v>
      </c>
      <c r="D144" s="23">
        <v>231656749759</v>
      </c>
      <c r="E144" s="23">
        <v>369057052400</v>
      </c>
      <c r="F144" s="23">
        <v>2121484056</v>
      </c>
      <c r="G144" s="23">
        <v>2587582598</v>
      </c>
    </row>
    <row r="145" spans="1:7" x14ac:dyDescent="0.2">
      <c r="A145" s="25" t="s">
        <v>287</v>
      </c>
      <c r="B145" s="26">
        <v>4</v>
      </c>
      <c r="C145" s="25" t="s">
        <v>288</v>
      </c>
      <c r="D145" s="28">
        <v>319190782</v>
      </c>
      <c r="E145" s="28">
        <v>1168712162</v>
      </c>
      <c r="F145" s="28">
        <v>0</v>
      </c>
      <c r="G145" s="28">
        <v>0</v>
      </c>
    </row>
    <row r="146" spans="1:7" s="33" customFormat="1" x14ac:dyDescent="0.2">
      <c r="A146" s="29" t="s">
        <v>289</v>
      </c>
      <c r="B146" s="30">
        <v>6</v>
      </c>
      <c r="C146" s="29" t="s">
        <v>290</v>
      </c>
      <c r="D146" s="32">
        <v>7566275</v>
      </c>
      <c r="E146" s="32">
        <v>10164577</v>
      </c>
      <c r="F146" s="32">
        <v>0</v>
      </c>
      <c r="G146" s="32">
        <v>0</v>
      </c>
    </row>
    <row r="147" spans="1:7" s="33" customFormat="1" x14ac:dyDescent="0.2">
      <c r="A147" s="29" t="s">
        <v>291</v>
      </c>
      <c r="B147" s="30">
        <v>6</v>
      </c>
      <c r="C147" s="29" t="s">
        <v>292</v>
      </c>
      <c r="D147" s="32">
        <v>163650993</v>
      </c>
      <c r="E147" s="32">
        <v>724335879</v>
      </c>
      <c r="F147" s="32">
        <v>0</v>
      </c>
      <c r="G147" s="32">
        <v>0</v>
      </c>
    </row>
    <row r="148" spans="1:7" s="33" customFormat="1" x14ac:dyDescent="0.2">
      <c r="A148" s="29" t="s">
        <v>293</v>
      </c>
      <c r="B148" s="30">
        <v>6</v>
      </c>
      <c r="C148" s="29" t="s">
        <v>294</v>
      </c>
      <c r="D148" s="32">
        <v>13634928</v>
      </c>
      <c r="E148" s="32">
        <v>83620152</v>
      </c>
      <c r="F148" s="32">
        <v>0</v>
      </c>
      <c r="G148" s="32">
        <v>0</v>
      </c>
    </row>
    <row r="149" spans="1:7" s="33" customFormat="1" x14ac:dyDescent="0.2">
      <c r="A149" s="29" t="s">
        <v>295</v>
      </c>
      <c r="B149" s="30">
        <v>6</v>
      </c>
      <c r="C149" s="29" t="s">
        <v>296</v>
      </c>
      <c r="D149" s="32">
        <v>132334539</v>
      </c>
      <c r="E149" s="32">
        <v>350591554</v>
      </c>
      <c r="F149" s="32">
        <v>0</v>
      </c>
      <c r="G149" s="32">
        <v>0</v>
      </c>
    </row>
    <row r="150" spans="1:7" s="33" customFormat="1" x14ac:dyDescent="0.2">
      <c r="A150" s="29" t="s">
        <v>297</v>
      </c>
      <c r="B150" s="30">
        <v>6</v>
      </c>
      <c r="C150" s="29" t="s">
        <v>298</v>
      </c>
      <c r="D150" s="32">
        <v>2004047</v>
      </c>
      <c r="E150" s="32">
        <v>0</v>
      </c>
      <c r="F150" s="32">
        <v>0</v>
      </c>
      <c r="G150" s="32">
        <v>0</v>
      </c>
    </row>
    <row r="151" spans="1:7" x14ac:dyDescent="0.2">
      <c r="A151" s="25" t="s">
        <v>299</v>
      </c>
      <c r="B151" s="26">
        <v>4</v>
      </c>
      <c r="C151" s="25" t="s">
        <v>300</v>
      </c>
      <c r="D151" s="28">
        <v>0</v>
      </c>
      <c r="E151" s="28">
        <v>0</v>
      </c>
      <c r="F151" s="28">
        <v>2121484056</v>
      </c>
      <c r="G151" s="28">
        <v>2587582598</v>
      </c>
    </row>
    <row r="152" spans="1:7" s="33" customFormat="1" x14ac:dyDescent="0.2">
      <c r="A152" s="29" t="s">
        <v>301</v>
      </c>
      <c r="B152" s="30">
        <v>6</v>
      </c>
      <c r="C152" s="29" t="s">
        <v>290</v>
      </c>
      <c r="D152" s="32">
        <v>0</v>
      </c>
      <c r="E152" s="32">
        <v>0</v>
      </c>
      <c r="F152" s="32">
        <v>5186301</v>
      </c>
      <c r="G152" s="32">
        <v>5826221</v>
      </c>
    </row>
    <row r="153" spans="1:7" s="33" customFormat="1" x14ac:dyDescent="0.2">
      <c r="A153" s="29" t="s">
        <v>302</v>
      </c>
      <c r="B153" s="30">
        <v>6</v>
      </c>
      <c r="C153" s="36" t="s">
        <v>292</v>
      </c>
      <c r="D153" s="32">
        <v>0</v>
      </c>
      <c r="E153" s="32">
        <v>0</v>
      </c>
      <c r="F153" s="32">
        <v>1104840107</v>
      </c>
      <c r="G153" s="32">
        <v>670216443</v>
      </c>
    </row>
    <row r="154" spans="1:7" s="33" customFormat="1" x14ac:dyDescent="0.2">
      <c r="A154" s="29" t="s">
        <v>303</v>
      </c>
      <c r="B154" s="30">
        <v>6</v>
      </c>
      <c r="C154" s="29" t="s">
        <v>294</v>
      </c>
      <c r="D154" s="32">
        <v>0</v>
      </c>
      <c r="E154" s="32">
        <v>0</v>
      </c>
      <c r="F154" s="32">
        <v>114883096</v>
      </c>
      <c r="G154" s="32">
        <v>80905277</v>
      </c>
    </row>
    <row r="155" spans="1:7" s="33" customFormat="1" x14ac:dyDescent="0.2">
      <c r="A155" s="29" t="s">
        <v>304</v>
      </c>
      <c r="B155" s="30">
        <v>6</v>
      </c>
      <c r="C155" s="29" t="s">
        <v>296</v>
      </c>
      <c r="D155" s="32">
        <v>0</v>
      </c>
      <c r="E155" s="32">
        <v>0</v>
      </c>
      <c r="F155" s="32">
        <v>483868474</v>
      </c>
      <c r="G155" s="32">
        <v>620001558</v>
      </c>
    </row>
    <row r="156" spans="1:7" s="33" customFormat="1" x14ac:dyDescent="0.2">
      <c r="A156" s="29" t="s">
        <v>305</v>
      </c>
      <c r="B156" s="30">
        <v>6</v>
      </c>
      <c r="C156" s="36" t="s">
        <v>306</v>
      </c>
      <c r="D156" s="32">
        <v>0</v>
      </c>
      <c r="E156" s="32">
        <v>0</v>
      </c>
      <c r="F156" s="32">
        <v>174725</v>
      </c>
      <c r="G156" s="32">
        <v>664548392</v>
      </c>
    </row>
    <row r="157" spans="1:7" s="33" customFormat="1" x14ac:dyDescent="0.2">
      <c r="A157" s="29" t="s">
        <v>307</v>
      </c>
      <c r="B157" s="30">
        <v>6</v>
      </c>
      <c r="C157" s="36" t="s">
        <v>308</v>
      </c>
      <c r="D157" s="32">
        <v>0</v>
      </c>
      <c r="E157" s="32">
        <v>0</v>
      </c>
      <c r="F157" s="32">
        <v>20192500</v>
      </c>
      <c r="G157" s="32">
        <v>24389200</v>
      </c>
    </row>
    <row r="158" spans="1:7" s="33" customFormat="1" x14ac:dyDescent="0.2">
      <c r="A158" s="29" t="s">
        <v>309</v>
      </c>
      <c r="B158" s="30">
        <v>6</v>
      </c>
      <c r="C158" s="36" t="s">
        <v>310</v>
      </c>
      <c r="D158" s="32">
        <v>0</v>
      </c>
      <c r="E158" s="32">
        <v>0</v>
      </c>
      <c r="F158" s="32">
        <v>3539534</v>
      </c>
      <c r="G158" s="32">
        <v>3539534</v>
      </c>
    </row>
    <row r="159" spans="1:7" s="33" customFormat="1" x14ac:dyDescent="0.2">
      <c r="A159" s="29" t="s">
        <v>311</v>
      </c>
      <c r="B159" s="30">
        <v>6</v>
      </c>
      <c r="C159" s="36" t="s">
        <v>312</v>
      </c>
      <c r="D159" s="32">
        <v>0</v>
      </c>
      <c r="E159" s="32">
        <v>0</v>
      </c>
      <c r="F159" s="32">
        <v>188078691</v>
      </c>
      <c r="G159" s="32">
        <v>217444196</v>
      </c>
    </row>
    <row r="160" spans="1:7" s="33" customFormat="1" x14ac:dyDescent="0.2">
      <c r="A160" s="29" t="s">
        <v>313</v>
      </c>
      <c r="B160" s="30">
        <v>6</v>
      </c>
      <c r="C160" s="36" t="s">
        <v>314</v>
      </c>
      <c r="D160" s="32">
        <v>0</v>
      </c>
      <c r="E160" s="32">
        <v>0</v>
      </c>
      <c r="F160" s="32">
        <v>136017628</v>
      </c>
      <c r="G160" s="32">
        <v>156757917</v>
      </c>
    </row>
    <row r="161" spans="1:7" s="33" customFormat="1" x14ac:dyDescent="0.2">
      <c r="A161" s="29" t="s">
        <v>315</v>
      </c>
      <c r="B161" s="30">
        <v>6</v>
      </c>
      <c r="C161" s="36" t="s">
        <v>316</v>
      </c>
      <c r="D161" s="32">
        <v>0</v>
      </c>
      <c r="E161" s="32">
        <v>0</v>
      </c>
      <c r="F161" s="32">
        <v>64703000</v>
      </c>
      <c r="G161" s="32">
        <v>72882600</v>
      </c>
    </row>
    <row r="162" spans="1:7" x14ac:dyDescent="0.2">
      <c r="A162" s="25" t="s">
        <v>317</v>
      </c>
      <c r="B162" s="26">
        <v>4</v>
      </c>
      <c r="C162" s="25" t="s">
        <v>256</v>
      </c>
      <c r="D162" s="28">
        <v>231337558977</v>
      </c>
      <c r="E162" s="28">
        <v>367888340238</v>
      </c>
      <c r="F162" s="28">
        <v>0</v>
      </c>
      <c r="G162" s="28">
        <v>0</v>
      </c>
    </row>
    <row r="163" spans="1:7" s="33" customFormat="1" x14ac:dyDescent="0.2">
      <c r="A163" s="29" t="s">
        <v>318</v>
      </c>
      <c r="B163" s="30">
        <v>6</v>
      </c>
      <c r="C163" s="34" t="s">
        <v>258</v>
      </c>
      <c r="D163" s="32">
        <v>2011966470</v>
      </c>
      <c r="E163" s="32">
        <v>3251342508</v>
      </c>
      <c r="F163" s="32">
        <v>0</v>
      </c>
      <c r="G163" s="32">
        <v>0</v>
      </c>
    </row>
    <row r="164" spans="1:7" s="33" customFormat="1" x14ac:dyDescent="0.2">
      <c r="A164" s="29" t="s">
        <v>319</v>
      </c>
      <c r="B164" s="30">
        <v>6</v>
      </c>
      <c r="C164" s="29" t="s">
        <v>262</v>
      </c>
      <c r="D164" s="32">
        <v>51687679</v>
      </c>
      <c r="E164" s="32">
        <v>118146859</v>
      </c>
      <c r="F164" s="32">
        <v>0</v>
      </c>
      <c r="G164" s="32">
        <v>0</v>
      </c>
    </row>
    <row r="165" spans="1:7" s="33" customFormat="1" x14ac:dyDescent="0.2">
      <c r="A165" s="29" t="s">
        <v>320</v>
      </c>
      <c r="B165" s="30">
        <v>6</v>
      </c>
      <c r="C165" s="29" t="s">
        <v>264</v>
      </c>
      <c r="D165" s="32">
        <v>5604876120</v>
      </c>
      <c r="E165" s="32">
        <v>797745852</v>
      </c>
      <c r="F165" s="32">
        <v>0</v>
      </c>
      <c r="G165" s="32">
        <v>0</v>
      </c>
    </row>
    <row r="166" spans="1:7" s="33" customFormat="1" ht="15.75" customHeight="1" x14ac:dyDescent="0.2">
      <c r="A166" s="29" t="s">
        <v>321</v>
      </c>
      <c r="B166" s="30">
        <v>6</v>
      </c>
      <c r="C166" s="29" t="s">
        <v>322</v>
      </c>
      <c r="D166" s="32">
        <v>208692452871</v>
      </c>
      <c r="E166" s="32">
        <v>351026475532</v>
      </c>
      <c r="F166" s="32">
        <v>0</v>
      </c>
      <c r="G166" s="32">
        <v>0</v>
      </c>
    </row>
    <row r="167" spans="1:7" s="33" customFormat="1" x14ac:dyDescent="0.2">
      <c r="A167" s="29" t="s">
        <v>323</v>
      </c>
      <c r="B167" s="30">
        <v>6</v>
      </c>
      <c r="C167" s="34" t="s">
        <v>268</v>
      </c>
      <c r="D167" s="32">
        <v>0</v>
      </c>
      <c r="E167" s="32">
        <v>12667703689</v>
      </c>
      <c r="F167" s="32">
        <v>0</v>
      </c>
      <c r="G167" s="32">
        <v>0</v>
      </c>
    </row>
    <row r="168" spans="1:7" s="33" customFormat="1" x14ac:dyDescent="0.2">
      <c r="A168" s="29" t="s">
        <v>324</v>
      </c>
      <c r="B168" s="30">
        <v>6</v>
      </c>
      <c r="C168" s="29" t="s">
        <v>270</v>
      </c>
      <c r="D168" s="32">
        <v>14976575837</v>
      </c>
      <c r="E168" s="32">
        <v>26925798</v>
      </c>
      <c r="F168" s="32">
        <v>0</v>
      </c>
      <c r="G168" s="32">
        <v>0</v>
      </c>
    </row>
    <row r="169" spans="1:7" ht="12.75" x14ac:dyDescent="0.2">
      <c r="A169" s="20" t="s">
        <v>325</v>
      </c>
      <c r="B169" s="21">
        <v>2</v>
      </c>
      <c r="C169" s="22" t="s">
        <v>326</v>
      </c>
      <c r="D169" s="23">
        <v>93197023866</v>
      </c>
      <c r="E169" s="23">
        <v>142491997357</v>
      </c>
      <c r="F169" s="23">
        <v>328734987168.19678</v>
      </c>
      <c r="G169" s="23">
        <v>314510180820.19678</v>
      </c>
    </row>
    <row r="170" spans="1:7" x14ac:dyDescent="0.2">
      <c r="A170" s="25" t="s">
        <v>327</v>
      </c>
      <c r="B170" s="26">
        <v>4</v>
      </c>
      <c r="C170" s="25" t="s">
        <v>328</v>
      </c>
      <c r="D170" s="28">
        <v>0</v>
      </c>
      <c r="E170" s="28">
        <v>0</v>
      </c>
      <c r="F170" s="28">
        <v>311649949</v>
      </c>
      <c r="G170" s="28">
        <v>457943064</v>
      </c>
    </row>
    <row r="171" spans="1:7" s="33" customFormat="1" x14ac:dyDescent="0.2">
      <c r="A171" s="29" t="s">
        <v>329</v>
      </c>
      <c r="B171" s="30">
        <v>6</v>
      </c>
      <c r="C171" s="34" t="s">
        <v>330</v>
      </c>
      <c r="D171" s="32">
        <v>0</v>
      </c>
      <c r="E171" s="32">
        <v>0</v>
      </c>
      <c r="F171" s="32">
        <v>311649949</v>
      </c>
      <c r="G171" s="32">
        <v>457943064</v>
      </c>
    </row>
    <row r="172" spans="1:7" x14ac:dyDescent="0.2">
      <c r="A172" s="25" t="s">
        <v>331</v>
      </c>
      <c r="B172" s="26">
        <v>4</v>
      </c>
      <c r="C172" s="25" t="s">
        <v>332</v>
      </c>
      <c r="D172" s="28">
        <v>92218173073</v>
      </c>
      <c r="E172" s="28">
        <v>15675979</v>
      </c>
      <c r="F172" s="28">
        <v>0</v>
      </c>
      <c r="G172" s="28">
        <v>0</v>
      </c>
    </row>
    <row r="173" spans="1:7" s="33" customFormat="1" x14ac:dyDescent="0.2">
      <c r="A173" s="29" t="s">
        <v>333</v>
      </c>
      <c r="B173" s="30">
        <v>6</v>
      </c>
      <c r="C173" s="29" t="s">
        <v>334</v>
      </c>
      <c r="D173" s="32">
        <v>0</v>
      </c>
      <c r="E173" s="32">
        <v>7975979</v>
      </c>
      <c r="F173" s="32">
        <v>0</v>
      </c>
      <c r="G173" s="32">
        <v>0</v>
      </c>
    </row>
    <row r="174" spans="1:7" s="33" customFormat="1" x14ac:dyDescent="0.2">
      <c r="A174" s="29" t="s">
        <v>335</v>
      </c>
      <c r="B174" s="30">
        <v>6</v>
      </c>
      <c r="C174" s="29" t="s">
        <v>336</v>
      </c>
      <c r="D174" s="32">
        <v>92218173073</v>
      </c>
      <c r="E174" s="32">
        <v>7700000</v>
      </c>
      <c r="F174" s="32">
        <v>0</v>
      </c>
      <c r="G174" s="32">
        <v>0</v>
      </c>
    </row>
    <row r="175" spans="1:7" x14ac:dyDescent="0.2">
      <c r="A175" s="25" t="s">
        <v>337</v>
      </c>
      <c r="B175" s="26">
        <v>4</v>
      </c>
      <c r="C175" s="25" t="s">
        <v>338</v>
      </c>
      <c r="D175" s="28">
        <v>978850793</v>
      </c>
      <c r="E175" s="28">
        <v>142476321378</v>
      </c>
      <c r="F175" s="28">
        <v>328423337219.19678</v>
      </c>
      <c r="G175" s="28">
        <v>314052237756.19678</v>
      </c>
    </row>
    <row r="176" spans="1:7" s="33" customFormat="1" x14ac:dyDescent="0.2">
      <c r="A176" s="29" t="s">
        <v>339</v>
      </c>
      <c r="B176" s="30">
        <v>6</v>
      </c>
      <c r="C176" s="29" t="s">
        <v>207</v>
      </c>
      <c r="D176" s="32">
        <v>21916462</v>
      </c>
      <c r="E176" s="32">
        <v>21916462</v>
      </c>
      <c r="F176" s="32">
        <v>0</v>
      </c>
      <c r="G176" s="32">
        <v>0</v>
      </c>
    </row>
    <row r="177" spans="1:7" s="33" customFormat="1" x14ac:dyDescent="0.2">
      <c r="A177" s="29" t="s">
        <v>340</v>
      </c>
      <c r="B177" s="30">
        <v>6</v>
      </c>
      <c r="C177" s="29" t="s">
        <v>341</v>
      </c>
      <c r="D177" s="32">
        <v>0</v>
      </c>
      <c r="E177" s="32">
        <v>130404668455</v>
      </c>
      <c r="F177" s="32">
        <v>113877500631</v>
      </c>
      <c r="G177" s="32">
        <v>144945164094</v>
      </c>
    </row>
    <row r="178" spans="1:7" s="33" customFormat="1" x14ac:dyDescent="0.2">
      <c r="A178" s="29" t="s">
        <v>342</v>
      </c>
      <c r="B178" s="30">
        <v>6</v>
      </c>
      <c r="C178" s="29" t="s">
        <v>343</v>
      </c>
      <c r="D178" s="32">
        <v>0</v>
      </c>
      <c r="E178" s="32">
        <v>10514955247</v>
      </c>
      <c r="F178" s="32">
        <v>52881577541</v>
      </c>
      <c r="G178" s="32">
        <v>50157810735</v>
      </c>
    </row>
    <row r="179" spans="1:7" s="33" customFormat="1" x14ac:dyDescent="0.2">
      <c r="A179" s="29" t="s">
        <v>344</v>
      </c>
      <c r="B179" s="30">
        <v>6</v>
      </c>
      <c r="C179" s="37" t="s">
        <v>345</v>
      </c>
      <c r="D179" s="32">
        <v>0</v>
      </c>
      <c r="E179" s="32">
        <v>1346513214</v>
      </c>
      <c r="F179" s="32">
        <v>2417031138.1967988</v>
      </c>
      <c r="G179" s="32">
        <v>2095502175.1967988</v>
      </c>
    </row>
    <row r="180" spans="1:7" s="33" customFormat="1" x14ac:dyDescent="0.2">
      <c r="A180" s="29" t="s">
        <v>346</v>
      </c>
      <c r="B180" s="30">
        <v>6</v>
      </c>
      <c r="C180" s="29" t="s">
        <v>347</v>
      </c>
      <c r="D180" s="32">
        <v>956934331</v>
      </c>
      <c r="E180" s="32">
        <v>188268000</v>
      </c>
      <c r="F180" s="32">
        <v>159247227909</v>
      </c>
      <c r="G180" s="32">
        <v>116853760752</v>
      </c>
    </row>
    <row r="181" spans="1:7" ht="12.75" x14ac:dyDescent="0.2">
      <c r="A181" s="20" t="s">
        <v>348</v>
      </c>
      <c r="B181" s="21">
        <v>2</v>
      </c>
      <c r="C181" s="22" t="s">
        <v>349</v>
      </c>
      <c r="D181" s="23">
        <v>0</v>
      </c>
      <c r="E181" s="23">
        <v>0</v>
      </c>
      <c r="F181" s="23">
        <v>111834861</v>
      </c>
      <c r="G181" s="23">
        <v>111834861</v>
      </c>
    </row>
    <row r="182" spans="1:7" x14ac:dyDescent="0.2">
      <c r="A182" s="25" t="s">
        <v>350</v>
      </c>
      <c r="B182" s="26">
        <v>4</v>
      </c>
      <c r="C182" s="25" t="s">
        <v>244</v>
      </c>
      <c r="D182" s="28">
        <v>0</v>
      </c>
      <c r="E182" s="28">
        <v>0</v>
      </c>
      <c r="F182" s="28">
        <v>111834861</v>
      </c>
      <c r="G182" s="28">
        <v>111834861</v>
      </c>
    </row>
    <row r="183" spans="1:7" s="33" customFormat="1" x14ac:dyDescent="0.2">
      <c r="A183" s="29" t="s">
        <v>351</v>
      </c>
      <c r="B183" s="30">
        <v>6</v>
      </c>
      <c r="C183" s="29" t="s">
        <v>246</v>
      </c>
      <c r="D183" s="32">
        <v>0</v>
      </c>
      <c r="E183" s="32">
        <v>0</v>
      </c>
      <c r="F183" s="32">
        <v>111834861</v>
      </c>
      <c r="G183" s="32">
        <v>111834861</v>
      </c>
    </row>
    <row r="184" spans="1:7" s="16" customFormat="1" ht="15" x14ac:dyDescent="0.25">
      <c r="A184" s="17" t="s">
        <v>352</v>
      </c>
      <c r="B184" s="18">
        <v>1</v>
      </c>
      <c r="C184" s="17" t="s">
        <v>353</v>
      </c>
      <c r="D184" s="19">
        <v>-60168232589</v>
      </c>
      <c r="E184" s="19">
        <v>-169498417215</v>
      </c>
      <c r="F184" s="19">
        <v>-277239245463</v>
      </c>
      <c r="G184" s="19">
        <v>-672239351599</v>
      </c>
    </row>
    <row r="185" spans="1:7" ht="12.75" x14ac:dyDescent="0.2">
      <c r="A185" s="20" t="s">
        <v>354</v>
      </c>
      <c r="B185" s="21">
        <v>2</v>
      </c>
      <c r="C185" s="22" t="s">
        <v>355</v>
      </c>
      <c r="D185" s="23">
        <v>-60168232589</v>
      </c>
      <c r="E185" s="23">
        <v>-169498417215</v>
      </c>
      <c r="F185" s="23">
        <v>-277239245463</v>
      </c>
      <c r="G185" s="23">
        <v>-672239351599</v>
      </c>
    </row>
    <row r="186" spans="1:7" x14ac:dyDescent="0.2">
      <c r="A186" s="25" t="s">
        <v>356</v>
      </c>
      <c r="B186" s="26">
        <v>4</v>
      </c>
      <c r="C186" s="25" t="s">
        <v>357</v>
      </c>
      <c r="D186" s="28">
        <v>81852000000</v>
      </c>
      <c r="E186" s="28">
        <v>81852000000</v>
      </c>
      <c r="F186" s="28">
        <v>81852000000</v>
      </c>
      <c r="G186" s="28">
        <v>81852000000</v>
      </c>
    </row>
    <row r="187" spans="1:7" s="33" customFormat="1" x14ac:dyDescent="0.2">
      <c r="A187" s="29" t="s">
        <v>358</v>
      </c>
      <c r="B187" s="30">
        <v>6</v>
      </c>
      <c r="C187" s="29" t="s">
        <v>359</v>
      </c>
      <c r="D187" s="32">
        <v>81852000000</v>
      </c>
      <c r="E187" s="32">
        <v>81852000000</v>
      </c>
      <c r="F187" s="32">
        <v>581852000000</v>
      </c>
      <c r="G187" s="32">
        <v>581852000000</v>
      </c>
    </row>
    <row r="188" spans="1:7" s="33" customFormat="1" x14ac:dyDescent="0.2">
      <c r="A188" s="29" t="s">
        <v>360</v>
      </c>
      <c r="B188" s="30">
        <v>6</v>
      </c>
      <c r="C188" s="29" t="s">
        <v>361</v>
      </c>
      <c r="D188" s="32">
        <v>0</v>
      </c>
      <c r="E188" s="32">
        <v>0</v>
      </c>
      <c r="F188" s="32">
        <v>-500000000000</v>
      </c>
      <c r="G188" s="32">
        <v>-500000000000</v>
      </c>
    </row>
    <row r="189" spans="1:7" x14ac:dyDescent="0.2">
      <c r="A189" s="25" t="s">
        <v>362</v>
      </c>
      <c r="B189" s="26">
        <v>4</v>
      </c>
      <c r="C189" s="25" t="s">
        <v>363</v>
      </c>
      <c r="D189" s="28">
        <v>-142020232589</v>
      </c>
      <c r="E189" s="28">
        <v>-251350417215</v>
      </c>
      <c r="F189" s="28">
        <v>-370723152544</v>
      </c>
      <c r="G189" s="28">
        <v>-765723258680</v>
      </c>
    </row>
    <row r="190" spans="1:7" s="33" customFormat="1" x14ac:dyDescent="0.2">
      <c r="A190" s="29" t="s">
        <v>364</v>
      </c>
      <c r="B190" s="30">
        <v>6</v>
      </c>
      <c r="C190" s="29" t="s">
        <v>365</v>
      </c>
      <c r="D190" s="32">
        <v>-142020232589</v>
      </c>
      <c r="E190" s="32">
        <v>-251350417215</v>
      </c>
      <c r="F190" s="32">
        <v>0</v>
      </c>
      <c r="G190" s="32">
        <v>0</v>
      </c>
    </row>
    <row r="191" spans="1:7" s="33" customFormat="1" x14ac:dyDescent="0.2">
      <c r="A191" s="29" t="s">
        <v>366</v>
      </c>
      <c r="B191" s="30">
        <v>6</v>
      </c>
      <c r="C191" s="29" t="s">
        <v>365</v>
      </c>
      <c r="D191" s="32">
        <v>0</v>
      </c>
      <c r="E191" s="32">
        <v>0</v>
      </c>
      <c r="F191" s="32">
        <v>-370723152544</v>
      </c>
      <c r="G191" s="32">
        <v>-765723258680</v>
      </c>
    </row>
    <row r="192" spans="1:7" x14ac:dyDescent="0.2">
      <c r="A192" s="25" t="s">
        <v>367</v>
      </c>
      <c r="B192" s="26">
        <v>4</v>
      </c>
      <c r="C192" s="25" t="s">
        <v>368</v>
      </c>
      <c r="D192" s="28">
        <v>0</v>
      </c>
      <c r="E192" s="28">
        <v>0</v>
      </c>
      <c r="F192" s="28">
        <v>11631907081</v>
      </c>
      <c r="G192" s="28">
        <v>11631907081</v>
      </c>
    </row>
    <row r="193" spans="1:7" s="33" customFormat="1" x14ac:dyDescent="0.2">
      <c r="A193" s="29" t="s">
        <v>369</v>
      </c>
      <c r="B193" s="30">
        <v>6</v>
      </c>
      <c r="C193" s="29" t="s">
        <v>59</v>
      </c>
      <c r="D193" s="32">
        <v>0</v>
      </c>
      <c r="E193" s="32">
        <v>0</v>
      </c>
      <c r="F193" s="32">
        <v>10927422577</v>
      </c>
      <c r="G193" s="32">
        <v>10927422577</v>
      </c>
    </row>
    <row r="194" spans="1:7" s="33" customFormat="1" x14ac:dyDescent="0.2">
      <c r="A194" s="29" t="s">
        <v>370</v>
      </c>
      <c r="B194" s="30">
        <v>6</v>
      </c>
      <c r="C194" s="29" t="s">
        <v>371</v>
      </c>
      <c r="D194" s="32">
        <v>0</v>
      </c>
      <c r="E194" s="32">
        <v>0</v>
      </c>
      <c r="F194" s="32">
        <v>-163742545</v>
      </c>
      <c r="G194" s="32">
        <v>-163742545</v>
      </c>
    </row>
    <row r="195" spans="1:7" s="33" customFormat="1" x14ac:dyDescent="0.2">
      <c r="A195" s="29" t="s">
        <v>372</v>
      </c>
      <c r="B195" s="30">
        <v>6</v>
      </c>
      <c r="C195" s="29" t="s">
        <v>150</v>
      </c>
      <c r="D195" s="32">
        <v>0</v>
      </c>
      <c r="E195" s="32">
        <v>0</v>
      </c>
      <c r="F195" s="32">
        <v>868227049</v>
      </c>
      <c r="G195" s="32">
        <v>868227049</v>
      </c>
    </row>
    <row r="196" spans="1:7" s="16" customFormat="1" ht="15" x14ac:dyDescent="0.25">
      <c r="A196" s="17" t="s">
        <v>373</v>
      </c>
      <c r="B196" s="18">
        <v>1</v>
      </c>
      <c r="C196" s="17" t="s">
        <v>374</v>
      </c>
      <c r="D196" s="19">
        <v>1226657511723</v>
      </c>
      <c r="E196" s="19">
        <v>1397066924268</v>
      </c>
      <c r="F196" s="19">
        <v>1465656640989</v>
      </c>
      <c r="G196" s="19">
        <v>710244288156</v>
      </c>
    </row>
    <row r="197" spans="1:7" ht="12.75" x14ac:dyDescent="0.2">
      <c r="A197" s="20" t="s">
        <v>375</v>
      </c>
      <c r="B197" s="21">
        <v>2</v>
      </c>
      <c r="C197" s="22" t="s">
        <v>376</v>
      </c>
      <c r="D197" s="23">
        <v>1190425478954</v>
      </c>
      <c r="E197" s="23">
        <v>1349953464576</v>
      </c>
      <c r="F197" s="23">
        <v>1444415524848</v>
      </c>
      <c r="G197" s="23">
        <v>663067023178</v>
      </c>
    </row>
    <row r="198" spans="1:7" x14ac:dyDescent="0.2">
      <c r="A198" s="25" t="s">
        <v>377</v>
      </c>
      <c r="B198" s="26">
        <v>4</v>
      </c>
      <c r="C198" s="25" t="s">
        <v>378</v>
      </c>
      <c r="D198" s="28">
        <v>1190425478954</v>
      </c>
      <c r="E198" s="28">
        <v>1349953464576</v>
      </c>
      <c r="F198" s="28">
        <v>1444415524848</v>
      </c>
      <c r="G198" s="28">
        <v>663067023178</v>
      </c>
    </row>
    <row r="199" spans="1:7" s="33" customFormat="1" x14ac:dyDescent="0.2">
      <c r="A199" s="29" t="s">
        <v>379</v>
      </c>
      <c r="B199" s="30">
        <v>6</v>
      </c>
      <c r="C199" s="29" t="s">
        <v>380</v>
      </c>
      <c r="D199" s="32">
        <v>7494929691</v>
      </c>
      <c r="E199" s="32">
        <v>27240918906</v>
      </c>
      <c r="F199" s="32">
        <v>53518151467</v>
      </c>
      <c r="G199" s="32">
        <v>29146817849</v>
      </c>
    </row>
    <row r="200" spans="1:7" s="33" customFormat="1" x14ac:dyDescent="0.2">
      <c r="A200" s="29" t="s">
        <v>381</v>
      </c>
      <c r="B200" s="30">
        <v>6</v>
      </c>
      <c r="C200" s="29" t="s">
        <v>382</v>
      </c>
      <c r="D200" s="32">
        <v>0</v>
      </c>
      <c r="E200" s="32">
        <v>0</v>
      </c>
      <c r="F200" s="32">
        <v>221221496</v>
      </c>
      <c r="G200" s="32">
        <v>137027577</v>
      </c>
    </row>
    <row r="201" spans="1:7" s="33" customFormat="1" x14ac:dyDescent="0.2">
      <c r="A201" s="29" t="s">
        <v>383</v>
      </c>
      <c r="B201" s="30">
        <v>6</v>
      </c>
      <c r="C201" s="29" t="s">
        <v>384</v>
      </c>
      <c r="D201" s="32">
        <v>1087684191507</v>
      </c>
      <c r="E201" s="32">
        <v>1223662739009</v>
      </c>
      <c r="F201" s="32">
        <v>1314961781294</v>
      </c>
      <c r="G201" s="32">
        <v>605218047517</v>
      </c>
    </row>
    <row r="202" spans="1:7" s="33" customFormat="1" x14ac:dyDescent="0.2">
      <c r="A202" s="29" t="s">
        <v>385</v>
      </c>
      <c r="B202" s="30">
        <v>6</v>
      </c>
      <c r="C202" s="29" t="s">
        <v>386</v>
      </c>
      <c r="D202" s="32">
        <v>3752703650</v>
      </c>
      <c r="E202" s="32">
        <v>3229138644</v>
      </c>
      <c r="F202" s="32">
        <v>3415028835</v>
      </c>
      <c r="G202" s="32">
        <v>1308686003</v>
      </c>
    </row>
    <row r="203" spans="1:7" s="33" customFormat="1" x14ac:dyDescent="0.2">
      <c r="A203" s="29" t="s">
        <v>387</v>
      </c>
      <c r="B203" s="30">
        <v>6</v>
      </c>
      <c r="C203" s="29" t="s">
        <v>65</v>
      </c>
      <c r="D203" s="32">
        <v>6537408745</v>
      </c>
      <c r="E203" s="32">
        <v>8870692780</v>
      </c>
      <c r="F203" s="32">
        <v>8587753423</v>
      </c>
      <c r="G203" s="32">
        <v>0</v>
      </c>
    </row>
    <row r="204" spans="1:7" s="33" customFormat="1" x14ac:dyDescent="0.2">
      <c r="A204" s="29" t="s">
        <v>388</v>
      </c>
      <c r="B204" s="30">
        <v>6</v>
      </c>
      <c r="C204" s="29" t="s">
        <v>389</v>
      </c>
      <c r="D204" s="32">
        <v>53482782</v>
      </c>
      <c r="E204" s="32">
        <v>105908555</v>
      </c>
      <c r="F204" s="32">
        <v>1974759539</v>
      </c>
      <c r="G204" s="32">
        <v>1126924864</v>
      </c>
    </row>
    <row r="205" spans="1:7" s="33" customFormat="1" x14ac:dyDescent="0.2">
      <c r="A205" s="29" t="s">
        <v>390</v>
      </c>
      <c r="B205" s="30">
        <v>6</v>
      </c>
      <c r="C205" s="29" t="s">
        <v>77</v>
      </c>
      <c r="D205" s="32">
        <v>84902762579</v>
      </c>
      <c r="E205" s="32">
        <v>86844066682</v>
      </c>
      <c r="F205" s="32">
        <v>61736828794</v>
      </c>
      <c r="G205" s="32">
        <v>25837233232</v>
      </c>
    </row>
    <row r="206" spans="1:7" ht="12.75" x14ac:dyDescent="0.2">
      <c r="A206" s="20" t="s">
        <v>391</v>
      </c>
      <c r="B206" s="21">
        <v>2</v>
      </c>
      <c r="C206" s="22" t="s">
        <v>392</v>
      </c>
      <c r="D206" s="23">
        <v>36232032769</v>
      </c>
      <c r="E206" s="23">
        <v>47113459692</v>
      </c>
      <c r="F206" s="23">
        <v>21241116141</v>
      </c>
      <c r="G206" s="23">
        <v>47177264978</v>
      </c>
    </row>
    <row r="207" spans="1:7" x14ac:dyDescent="0.2">
      <c r="A207" s="25" t="s">
        <v>393</v>
      </c>
      <c r="B207" s="26">
        <v>4</v>
      </c>
      <c r="C207" s="25" t="s">
        <v>394</v>
      </c>
      <c r="D207" s="28">
        <v>0</v>
      </c>
      <c r="E207" s="28">
        <v>0</v>
      </c>
      <c r="F207" s="28">
        <v>4177150446</v>
      </c>
      <c r="G207" s="28">
        <v>1704194838</v>
      </c>
    </row>
    <row r="208" spans="1:7" s="33" customFormat="1" x14ac:dyDescent="0.2">
      <c r="A208" s="29" t="s">
        <v>395</v>
      </c>
      <c r="B208" s="30">
        <v>6</v>
      </c>
      <c r="C208" s="29" t="s">
        <v>396</v>
      </c>
      <c r="D208" s="32">
        <v>0</v>
      </c>
      <c r="E208" s="32">
        <v>0</v>
      </c>
      <c r="F208" s="32">
        <v>693496735</v>
      </c>
      <c r="G208" s="32">
        <v>227517168</v>
      </c>
    </row>
    <row r="209" spans="1:7" s="33" customFormat="1" x14ac:dyDescent="0.2">
      <c r="A209" s="29" t="s">
        <v>397</v>
      </c>
      <c r="B209" s="30">
        <v>6</v>
      </c>
      <c r="C209" s="29" t="s">
        <v>398</v>
      </c>
      <c r="D209" s="32">
        <v>0</v>
      </c>
      <c r="E209" s="32">
        <v>0</v>
      </c>
      <c r="F209" s="32">
        <v>1206896834</v>
      </c>
      <c r="G209" s="32">
        <v>921116977</v>
      </c>
    </row>
    <row r="210" spans="1:7" s="33" customFormat="1" x14ac:dyDescent="0.2">
      <c r="A210" s="29" t="s">
        <v>399</v>
      </c>
      <c r="B210" s="30">
        <v>6</v>
      </c>
      <c r="C210" s="29" t="s">
        <v>400</v>
      </c>
      <c r="D210" s="32">
        <v>0</v>
      </c>
      <c r="E210" s="32">
        <v>0</v>
      </c>
      <c r="F210" s="32">
        <v>23629152</v>
      </c>
      <c r="G210" s="32">
        <v>5208305</v>
      </c>
    </row>
    <row r="211" spans="1:7" s="33" customFormat="1" x14ac:dyDescent="0.2">
      <c r="A211" s="29" t="s">
        <v>401</v>
      </c>
      <c r="B211" s="30">
        <v>6</v>
      </c>
      <c r="C211" s="29" t="s">
        <v>402</v>
      </c>
      <c r="D211" s="32">
        <v>0</v>
      </c>
      <c r="E211" s="32">
        <v>0</v>
      </c>
      <c r="F211" s="32">
        <v>2253127725</v>
      </c>
      <c r="G211" s="32">
        <v>550352388</v>
      </c>
    </row>
    <row r="212" spans="1:7" x14ac:dyDescent="0.2">
      <c r="A212" s="25" t="s">
        <v>403</v>
      </c>
      <c r="B212" s="26">
        <v>4</v>
      </c>
      <c r="C212" s="25" t="s">
        <v>394</v>
      </c>
      <c r="D212" s="28">
        <v>3518851459</v>
      </c>
      <c r="E212" s="28">
        <v>1697101859</v>
      </c>
      <c r="F212" s="28">
        <v>0</v>
      </c>
      <c r="G212" s="28">
        <v>0</v>
      </c>
    </row>
    <row r="213" spans="1:7" s="33" customFormat="1" x14ac:dyDescent="0.2">
      <c r="A213" s="29" t="s">
        <v>404</v>
      </c>
      <c r="B213" s="30">
        <v>6</v>
      </c>
      <c r="C213" s="29" t="s">
        <v>396</v>
      </c>
      <c r="D213" s="32">
        <v>307003039</v>
      </c>
      <c r="E213" s="32">
        <v>246495101</v>
      </c>
      <c r="F213" s="32">
        <v>0</v>
      </c>
      <c r="G213" s="32">
        <v>0</v>
      </c>
    </row>
    <row r="214" spans="1:7" s="33" customFormat="1" x14ac:dyDescent="0.2">
      <c r="A214" s="29" t="s">
        <v>405</v>
      </c>
      <c r="B214" s="30">
        <v>6</v>
      </c>
      <c r="C214" s="29" t="s">
        <v>400</v>
      </c>
      <c r="D214" s="32">
        <v>3098258</v>
      </c>
      <c r="E214" s="32">
        <v>23774272</v>
      </c>
      <c r="F214" s="32">
        <v>0</v>
      </c>
      <c r="G214" s="32">
        <v>0</v>
      </c>
    </row>
    <row r="215" spans="1:7" s="33" customFormat="1" x14ac:dyDescent="0.2">
      <c r="A215" s="29" t="s">
        <v>406</v>
      </c>
      <c r="B215" s="30">
        <v>6</v>
      </c>
      <c r="C215" s="29" t="s">
        <v>402</v>
      </c>
      <c r="D215" s="32">
        <v>3208750162</v>
      </c>
      <c r="E215" s="32">
        <v>1426832486</v>
      </c>
      <c r="F215" s="32">
        <v>0</v>
      </c>
      <c r="G215" s="32">
        <v>0</v>
      </c>
    </row>
    <row r="216" spans="1:7" x14ac:dyDescent="0.2">
      <c r="A216" s="25" t="s">
        <v>407</v>
      </c>
      <c r="B216" s="26">
        <v>4</v>
      </c>
      <c r="C216" s="25" t="s">
        <v>408</v>
      </c>
      <c r="D216" s="28">
        <v>0</v>
      </c>
      <c r="E216" s="28">
        <v>500000</v>
      </c>
      <c r="F216" s="28">
        <v>17063965695</v>
      </c>
      <c r="G216" s="28">
        <v>45473070140</v>
      </c>
    </row>
    <row r="217" spans="1:7" s="33" customFormat="1" x14ac:dyDescent="0.2">
      <c r="A217" s="29" t="s">
        <v>409</v>
      </c>
      <c r="B217" s="30">
        <v>6</v>
      </c>
      <c r="C217" s="34" t="s">
        <v>410</v>
      </c>
      <c r="D217" s="32">
        <v>0</v>
      </c>
      <c r="E217" s="32">
        <v>500000</v>
      </c>
      <c r="F217" s="32">
        <v>0</v>
      </c>
      <c r="G217" s="32">
        <v>0</v>
      </c>
    </row>
    <row r="218" spans="1:7" s="33" customFormat="1" x14ac:dyDescent="0.2">
      <c r="A218" s="29" t="s">
        <v>411</v>
      </c>
      <c r="B218" s="30">
        <v>6</v>
      </c>
      <c r="C218" s="29" t="s">
        <v>412</v>
      </c>
      <c r="D218" s="32">
        <v>0</v>
      </c>
      <c r="E218" s="32">
        <v>0</v>
      </c>
      <c r="F218" s="32">
        <v>17062892794</v>
      </c>
      <c r="G218" s="32">
        <v>45182655237</v>
      </c>
    </row>
    <row r="219" spans="1:7" s="33" customFormat="1" x14ac:dyDescent="0.2">
      <c r="A219" s="29" t="s">
        <v>413</v>
      </c>
      <c r="B219" s="30">
        <v>6</v>
      </c>
      <c r="C219" s="29" t="s">
        <v>414</v>
      </c>
      <c r="D219" s="32">
        <v>0</v>
      </c>
      <c r="E219" s="32">
        <v>0</v>
      </c>
      <c r="F219" s="32">
        <v>111243</v>
      </c>
      <c r="G219" s="32">
        <v>177340</v>
      </c>
    </row>
    <row r="220" spans="1:7" s="33" customFormat="1" x14ac:dyDescent="0.2">
      <c r="A220" s="29" t="s">
        <v>415</v>
      </c>
      <c r="B220" s="30">
        <v>6</v>
      </c>
      <c r="C220" s="29" t="s">
        <v>416</v>
      </c>
      <c r="D220" s="32">
        <v>0</v>
      </c>
      <c r="E220" s="32">
        <v>0</v>
      </c>
      <c r="F220" s="32">
        <v>961658</v>
      </c>
      <c r="G220" s="32">
        <v>290237563</v>
      </c>
    </row>
    <row r="221" spans="1:7" x14ac:dyDescent="0.2">
      <c r="A221" s="25" t="s">
        <v>417</v>
      </c>
      <c r="B221" s="26">
        <v>4</v>
      </c>
      <c r="C221" s="25" t="s">
        <v>418</v>
      </c>
      <c r="D221" s="28">
        <v>657468</v>
      </c>
      <c r="E221" s="28">
        <v>19623736914</v>
      </c>
      <c r="F221" s="28">
        <v>0</v>
      </c>
      <c r="G221" s="28">
        <v>0</v>
      </c>
    </row>
    <row r="222" spans="1:7" s="33" customFormat="1" x14ac:dyDescent="0.2">
      <c r="A222" s="29" t="s">
        <v>419</v>
      </c>
      <c r="B222" s="30">
        <v>6</v>
      </c>
      <c r="C222" s="29" t="s">
        <v>412</v>
      </c>
      <c r="D222" s="32">
        <v>0</v>
      </c>
      <c r="E222" s="32">
        <v>19622567162</v>
      </c>
      <c r="F222" s="32">
        <v>0</v>
      </c>
      <c r="G222" s="32">
        <v>0</v>
      </c>
    </row>
    <row r="223" spans="1:7" s="33" customFormat="1" x14ac:dyDescent="0.2">
      <c r="A223" s="29" t="s">
        <v>420</v>
      </c>
      <c r="B223" s="30">
        <v>6</v>
      </c>
      <c r="C223" s="29" t="s">
        <v>414</v>
      </c>
      <c r="D223" s="32">
        <v>657468</v>
      </c>
      <c r="E223" s="32">
        <v>1169752</v>
      </c>
      <c r="F223" s="32">
        <v>0</v>
      </c>
      <c r="G223" s="32">
        <v>0</v>
      </c>
    </row>
    <row r="224" spans="1:7" x14ac:dyDescent="0.2">
      <c r="A224" s="25" t="s">
        <v>421</v>
      </c>
      <c r="B224" s="26">
        <v>4</v>
      </c>
      <c r="C224" s="25" t="s">
        <v>422</v>
      </c>
      <c r="D224" s="28">
        <v>32712523842</v>
      </c>
      <c r="E224" s="28">
        <v>25792120919</v>
      </c>
      <c r="F224" s="28">
        <v>0</v>
      </c>
      <c r="G224" s="28">
        <v>0</v>
      </c>
    </row>
    <row r="225" spans="1:7" s="33" customFormat="1" x14ac:dyDescent="0.2">
      <c r="A225" s="29" t="s">
        <v>423</v>
      </c>
      <c r="B225" s="30">
        <v>6</v>
      </c>
      <c r="C225" s="29" t="s">
        <v>424</v>
      </c>
      <c r="D225" s="32">
        <v>32712523842</v>
      </c>
      <c r="E225" s="32">
        <v>25792120919</v>
      </c>
      <c r="F225" s="32">
        <v>0</v>
      </c>
      <c r="G225" s="32">
        <v>0</v>
      </c>
    </row>
    <row r="226" spans="1:7" s="16" customFormat="1" ht="15" x14ac:dyDescent="0.25">
      <c r="A226" s="17" t="s">
        <v>425</v>
      </c>
      <c r="B226" s="18">
        <v>1</v>
      </c>
      <c r="C226" s="17" t="s">
        <v>426</v>
      </c>
      <c r="D226" s="19">
        <v>77327334912</v>
      </c>
      <c r="E226" s="19">
        <v>101258600522</v>
      </c>
      <c r="F226" s="19">
        <v>1860656747125</v>
      </c>
      <c r="G226" s="19">
        <v>673266340128</v>
      </c>
    </row>
    <row r="227" spans="1:7" ht="12.75" x14ac:dyDescent="0.2">
      <c r="A227" s="20" t="s">
        <v>427</v>
      </c>
      <c r="B227" s="21">
        <v>2</v>
      </c>
      <c r="C227" s="22" t="s">
        <v>428</v>
      </c>
      <c r="D227" s="23">
        <v>55116842808</v>
      </c>
      <c r="E227" s="23">
        <v>58019159065</v>
      </c>
      <c r="F227" s="23">
        <v>52360396508</v>
      </c>
      <c r="G227" s="23">
        <v>23981672923</v>
      </c>
    </row>
    <row r="228" spans="1:7" x14ac:dyDescent="0.2">
      <c r="A228" s="25" t="s">
        <v>429</v>
      </c>
      <c r="B228" s="26">
        <v>4</v>
      </c>
      <c r="C228" s="25" t="s">
        <v>430</v>
      </c>
      <c r="D228" s="28">
        <v>7361645490</v>
      </c>
      <c r="E228" s="28">
        <v>25101330174</v>
      </c>
      <c r="F228" s="28">
        <v>15031965102</v>
      </c>
      <c r="G228" s="28">
        <v>8754900641</v>
      </c>
    </row>
    <row r="229" spans="1:7" s="33" customFormat="1" x14ac:dyDescent="0.2">
      <c r="A229" s="29" t="s">
        <v>431</v>
      </c>
      <c r="B229" s="30">
        <v>6</v>
      </c>
      <c r="C229" s="29" t="s">
        <v>432</v>
      </c>
      <c r="D229" s="32">
        <v>2092536516</v>
      </c>
      <c r="E229" s="32">
        <v>8863260070</v>
      </c>
      <c r="F229" s="32">
        <v>13274933685</v>
      </c>
      <c r="G229" s="32">
        <v>7847568971</v>
      </c>
    </row>
    <row r="230" spans="1:7" s="33" customFormat="1" x14ac:dyDescent="0.2">
      <c r="A230" s="29" t="s">
        <v>433</v>
      </c>
      <c r="B230" s="30">
        <v>6</v>
      </c>
      <c r="C230" s="29" t="s">
        <v>434</v>
      </c>
      <c r="D230" s="32">
        <v>2760198</v>
      </c>
      <c r="E230" s="32">
        <v>7875409</v>
      </c>
      <c r="F230" s="32">
        <v>0</v>
      </c>
      <c r="G230" s="32">
        <v>0</v>
      </c>
    </row>
    <row r="231" spans="1:7" s="33" customFormat="1" x14ac:dyDescent="0.2">
      <c r="A231" s="29" t="s">
        <v>435</v>
      </c>
      <c r="B231" s="30">
        <v>6</v>
      </c>
      <c r="C231" s="29" t="s">
        <v>436</v>
      </c>
      <c r="D231" s="32">
        <v>828946</v>
      </c>
      <c r="E231" s="32">
        <v>0</v>
      </c>
      <c r="F231" s="32">
        <v>0</v>
      </c>
      <c r="G231" s="32">
        <v>0</v>
      </c>
    </row>
    <row r="232" spans="1:7" s="33" customFormat="1" x14ac:dyDescent="0.2">
      <c r="A232" s="29" t="s">
        <v>437</v>
      </c>
      <c r="B232" s="30">
        <v>6</v>
      </c>
      <c r="C232" s="29" t="s">
        <v>438</v>
      </c>
      <c r="D232" s="32">
        <v>999805317</v>
      </c>
      <c r="E232" s="32">
        <v>3378348004</v>
      </c>
      <c r="F232" s="32">
        <v>0</v>
      </c>
      <c r="G232" s="32">
        <v>0</v>
      </c>
    </row>
    <row r="233" spans="1:7" s="33" customFormat="1" x14ac:dyDescent="0.2">
      <c r="A233" s="29" t="s">
        <v>439</v>
      </c>
      <c r="B233" s="30">
        <v>6</v>
      </c>
      <c r="C233" s="29" t="s">
        <v>223</v>
      </c>
      <c r="D233" s="32">
        <v>2594082660</v>
      </c>
      <c r="E233" s="32">
        <v>8727170957</v>
      </c>
      <c r="F233" s="32">
        <v>0</v>
      </c>
      <c r="G233" s="32">
        <v>0</v>
      </c>
    </row>
    <row r="234" spans="1:7" s="33" customFormat="1" x14ac:dyDescent="0.2">
      <c r="A234" s="29" t="s">
        <v>440</v>
      </c>
      <c r="B234" s="30">
        <v>6</v>
      </c>
      <c r="C234" s="29" t="s">
        <v>296</v>
      </c>
      <c r="D234" s="32">
        <v>146522267</v>
      </c>
      <c r="E234" s="32">
        <v>524468517</v>
      </c>
      <c r="F234" s="32">
        <v>0</v>
      </c>
      <c r="G234" s="32">
        <v>0</v>
      </c>
    </row>
    <row r="235" spans="1:7" s="33" customFormat="1" x14ac:dyDescent="0.2">
      <c r="A235" s="29" t="s">
        <v>441</v>
      </c>
      <c r="B235" s="30">
        <v>6</v>
      </c>
      <c r="C235" s="29" t="s">
        <v>442</v>
      </c>
      <c r="D235" s="32">
        <v>44967218</v>
      </c>
      <c r="E235" s="32">
        <v>408031190</v>
      </c>
      <c r="F235" s="32">
        <v>458858194</v>
      </c>
      <c r="G235" s="32">
        <v>214722970</v>
      </c>
    </row>
    <row r="236" spans="1:7" s="33" customFormat="1" x14ac:dyDescent="0.2">
      <c r="A236" s="29" t="s">
        <v>443</v>
      </c>
      <c r="B236" s="30">
        <v>6</v>
      </c>
      <c r="C236" s="29" t="s">
        <v>292</v>
      </c>
      <c r="D236" s="32">
        <v>178762487</v>
      </c>
      <c r="E236" s="32">
        <v>797232023</v>
      </c>
      <c r="F236" s="32">
        <v>0</v>
      </c>
      <c r="G236" s="32">
        <v>0</v>
      </c>
    </row>
    <row r="237" spans="1:7" s="33" customFormat="1" x14ac:dyDescent="0.2">
      <c r="A237" s="29" t="s">
        <v>444</v>
      </c>
      <c r="B237" s="30">
        <v>6</v>
      </c>
      <c r="C237" s="29" t="s">
        <v>445</v>
      </c>
      <c r="D237" s="32">
        <v>14130099</v>
      </c>
      <c r="E237" s="32">
        <v>88396377</v>
      </c>
      <c r="F237" s="32">
        <v>0</v>
      </c>
      <c r="G237" s="32">
        <v>0</v>
      </c>
    </row>
    <row r="238" spans="1:7" s="33" customFormat="1" x14ac:dyDescent="0.2">
      <c r="A238" s="29" t="s">
        <v>446</v>
      </c>
      <c r="B238" s="30">
        <v>6</v>
      </c>
      <c r="C238" s="29" t="s">
        <v>310</v>
      </c>
      <c r="D238" s="32">
        <v>29024698</v>
      </c>
      <c r="E238" s="32">
        <v>116893693</v>
      </c>
      <c r="F238" s="32">
        <v>0</v>
      </c>
      <c r="G238" s="32">
        <v>0</v>
      </c>
    </row>
    <row r="239" spans="1:7" s="33" customFormat="1" x14ac:dyDescent="0.2">
      <c r="A239" s="29" t="s">
        <v>447</v>
      </c>
      <c r="B239" s="30">
        <v>6</v>
      </c>
      <c r="C239" s="34" t="s">
        <v>448</v>
      </c>
      <c r="D239" s="38">
        <v>4809250</v>
      </c>
      <c r="E239" s="32">
        <v>249036857</v>
      </c>
      <c r="F239" s="32">
        <v>0</v>
      </c>
      <c r="G239" s="32">
        <v>0</v>
      </c>
    </row>
    <row r="240" spans="1:7" s="33" customFormat="1" x14ac:dyDescent="0.2">
      <c r="A240" s="29" t="s">
        <v>449</v>
      </c>
      <c r="B240" s="30">
        <v>6</v>
      </c>
      <c r="C240" s="29" t="s">
        <v>450</v>
      </c>
      <c r="D240" s="32">
        <v>953834654</v>
      </c>
      <c r="E240" s="32">
        <v>1002297475</v>
      </c>
      <c r="F240" s="32">
        <v>1298173223</v>
      </c>
      <c r="G240" s="32">
        <v>692608700</v>
      </c>
    </row>
    <row r="241" spans="1:7" s="33" customFormat="1" x14ac:dyDescent="0.2">
      <c r="A241" s="29" t="s">
        <v>451</v>
      </c>
      <c r="B241" s="30">
        <v>6</v>
      </c>
      <c r="C241" s="29" t="s">
        <v>452</v>
      </c>
      <c r="D241" s="32">
        <v>36210610</v>
      </c>
      <c r="E241" s="32">
        <v>43305320</v>
      </c>
      <c r="F241" s="32">
        <v>0</v>
      </c>
      <c r="G241" s="32">
        <v>0</v>
      </c>
    </row>
    <row r="242" spans="1:7" s="33" customFormat="1" x14ac:dyDescent="0.2">
      <c r="A242" s="29" t="s">
        <v>453</v>
      </c>
      <c r="B242" s="30">
        <v>6</v>
      </c>
      <c r="C242" s="29" t="s">
        <v>454</v>
      </c>
      <c r="D242" s="32">
        <v>84603634</v>
      </c>
      <c r="E242" s="32">
        <v>101243592</v>
      </c>
      <c r="F242" s="32">
        <v>0</v>
      </c>
      <c r="G242" s="32">
        <v>0</v>
      </c>
    </row>
    <row r="243" spans="1:7" s="33" customFormat="1" x14ac:dyDescent="0.2">
      <c r="A243" s="29" t="s">
        <v>455</v>
      </c>
      <c r="B243" s="30">
        <v>6</v>
      </c>
      <c r="C243" s="29" t="s">
        <v>306</v>
      </c>
      <c r="D243" s="32">
        <v>178766936</v>
      </c>
      <c r="E243" s="32">
        <v>793770690</v>
      </c>
      <c r="F243" s="32">
        <v>0</v>
      </c>
      <c r="G243" s="32">
        <v>0</v>
      </c>
    </row>
    <row r="244" spans="1:7" x14ac:dyDescent="0.2">
      <c r="A244" s="25" t="s">
        <v>456</v>
      </c>
      <c r="B244" s="26">
        <v>4</v>
      </c>
      <c r="C244" s="25" t="s">
        <v>457</v>
      </c>
      <c r="D244" s="28">
        <v>17224863</v>
      </c>
      <c r="E244" s="28">
        <v>113789933</v>
      </c>
      <c r="F244" s="28">
        <v>300526352</v>
      </c>
      <c r="G244" s="28">
        <v>108309024</v>
      </c>
    </row>
    <row r="245" spans="1:7" s="33" customFormat="1" x14ac:dyDescent="0.2">
      <c r="A245" s="29" t="s">
        <v>458</v>
      </c>
      <c r="B245" s="30">
        <v>6</v>
      </c>
      <c r="C245" s="29" t="s">
        <v>389</v>
      </c>
      <c r="D245" s="32">
        <v>17224863</v>
      </c>
      <c r="E245" s="32">
        <v>90255404</v>
      </c>
      <c r="F245" s="32">
        <v>177748252</v>
      </c>
      <c r="G245" s="32">
        <v>75108435</v>
      </c>
    </row>
    <row r="246" spans="1:7" s="33" customFormat="1" x14ac:dyDescent="0.2">
      <c r="A246" s="29" t="s">
        <v>459</v>
      </c>
      <c r="B246" s="30">
        <v>6</v>
      </c>
      <c r="C246" s="29" t="s">
        <v>460</v>
      </c>
      <c r="D246" s="32">
        <v>0</v>
      </c>
      <c r="E246" s="32">
        <v>23534529</v>
      </c>
      <c r="F246" s="32">
        <v>122778100</v>
      </c>
      <c r="G246" s="32">
        <v>33200589</v>
      </c>
    </row>
    <row r="247" spans="1:7" x14ac:dyDescent="0.2">
      <c r="A247" s="25" t="s">
        <v>461</v>
      </c>
      <c r="B247" s="26">
        <v>4</v>
      </c>
      <c r="C247" s="25" t="s">
        <v>462</v>
      </c>
      <c r="D247" s="28">
        <v>700237364</v>
      </c>
      <c r="E247" s="28">
        <v>2595905486</v>
      </c>
      <c r="F247" s="28">
        <v>3895433800</v>
      </c>
      <c r="G247" s="28">
        <v>2288370830</v>
      </c>
    </row>
    <row r="248" spans="1:7" s="33" customFormat="1" x14ac:dyDescent="0.2">
      <c r="A248" s="29" t="s">
        <v>463</v>
      </c>
      <c r="B248" s="30">
        <v>6</v>
      </c>
      <c r="C248" s="29" t="s">
        <v>316</v>
      </c>
      <c r="D248" s="32">
        <v>111022580</v>
      </c>
      <c r="E248" s="32">
        <v>391898968</v>
      </c>
      <c r="F248" s="32">
        <v>602294390</v>
      </c>
      <c r="G248" s="32">
        <v>352312400</v>
      </c>
    </row>
    <row r="249" spans="1:7" s="33" customFormat="1" x14ac:dyDescent="0.2">
      <c r="A249" s="29" t="s">
        <v>464</v>
      </c>
      <c r="B249" s="30">
        <v>6</v>
      </c>
      <c r="C249" s="29" t="s">
        <v>465</v>
      </c>
      <c r="D249" s="32">
        <v>238692333</v>
      </c>
      <c r="E249" s="32">
        <v>860054891</v>
      </c>
      <c r="F249" s="32">
        <v>1298477957</v>
      </c>
      <c r="G249" s="32">
        <v>763647128</v>
      </c>
    </row>
    <row r="250" spans="1:7" s="33" customFormat="1" x14ac:dyDescent="0.2">
      <c r="A250" s="29" t="s">
        <v>466</v>
      </c>
      <c r="B250" s="30">
        <v>6</v>
      </c>
      <c r="C250" s="29" t="s">
        <v>467</v>
      </c>
      <c r="D250" s="32">
        <v>14368878</v>
      </c>
      <c r="E250" s="32">
        <v>155259753</v>
      </c>
      <c r="F250" s="32">
        <v>204626718</v>
      </c>
      <c r="G250" s="32">
        <v>115437300</v>
      </c>
    </row>
    <row r="251" spans="1:7" s="33" customFormat="1" x14ac:dyDescent="0.2">
      <c r="A251" s="29" t="s">
        <v>468</v>
      </c>
      <c r="B251" s="30">
        <v>6</v>
      </c>
      <c r="C251" s="29" t="s">
        <v>469</v>
      </c>
      <c r="D251" s="32">
        <v>111821324</v>
      </c>
      <c r="E251" s="32">
        <v>275168501</v>
      </c>
      <c r="F251" s="32">
        <v>372461693</v>
      </c>
      <c r="G251" s="32">
        <v>287698640</v>
      </c>
    </row>
    <row r="252" spans="1:7" s="33" customFormat="1" x14ac:dyDescent="0.2">
      <c r="A252" s="29" t="s">
        <v>470</v>
      </c>
      <c r="B252" s="30">
        <v>6</v>
      </c>
      <c r="C252" s="29" t="s">
        <v>471</v>
      </c>
      <c r="D252" s="32">
        <v>224332249</v>
      </c>
      <c r="E252" s="32">
        <v>913523373</v>
      </c>
      <c r="F252" s="32">
        <v>1417573042</v>
      </c>
      <c r="G252" s="32">
        <v>769275362</v>
      </c>
    </row>
    <row r="253" spans="1:7" x14ac:dyDescent="0.2">
      <c r="A253" s="25" t="s">
        <v>472</v>
      </c>
      <c r="B253" s="26">
        <v>4</v>
      </c>
      <c r="C253" s="25" t="s">
        <v>473</v>
      </c>
      <c r="D253" s="28">
        <v>138768750</v>
      </c>
      <c r="E253" s="28">
        <v>491187874</v>
      </c>
      <c r="F253" s="28">
        <v>752191533</v>
      </c>
      <c r="G253" s="28">
        <v>440614900</v>
      </c>
    </row>
    <row r="254" spans="1:7" s="33" customFormat="1" x14ac:dyDescent="0.2">
      <c r="A254" s="29" t="s">
        <v>474</v>
      </c>
      <c r="B254" s="30">
        <v>6</v>
      </c>
      <c r="C254" s="29" t="s">
        <v>475</v>
      </c>
      <c r="D254" s="32">
        <v>83269710</v>
      </c>
      <c r="E254" s="32">
        <v>294754481</v>
      </c>
      <c r="F254" s="32">
        <v>451253122</v>
      </c>
      <c r="G254" s="32">
        <v>264308000</v>
      </c>
    </row>
    <row r="255" spans="1:7" s="33" customFormat="1" x14ac:dyDescent="0.2">
      <c r="A255" s="29" t="s">
        <v>476</v>
      </c>
      <c r="B255" s="30">
        <v>6</v>
      </c>
      <c r="C255" s="29" t="s">
        <v>477</v>
      </c>
      <c r="D255" s="32">
        <v>55499040</v>
      </c>
      <c r="E255" s="32">
        <v>196433393</v>
      </c>
      <c r="F255" s="32">
        <v>300938411</v>
      </c>
      <c r="G255" s="32">
        <v>176306900</v>
      </c>
    </row>
    <row r="256" spans="1:7" x14ac:dyDescent="0.2">
      <c r="A256" s="25" t="s">
        <v>478</v>
      </c>
      <c r="B256" s="26">
        <v>4</v>
      </c>
      <c r="C256" s="25" t="s">
        <v>479</v>
      </c>
      <c r="D256" s="28">
        <v>0</v>
      </c>
      <c r="E256" s="28">
        <v>0</v>
      </c>
      <c r="F256" s="28">
        <v>3268496544</v>
      </c>
      <c r="G256" s="28">
        <v>1921205125</v>
      </c>
    </row>
    <row r="257" spans="1:7" s="33" customFormat="1" x14ac:dyDescent="0.2">
      <c r="A257" s="29" t="s">
        <v>480</v>
      </c>
      <c r="B257" s="30">
        <v>6</v>
      </c>
      <c r="C257" s="29" t="s">
        <v>296</v>
      </c>
      <c r="D257" s="32">
        <v>0</v>
      </c>
      <c r="E257" s="32">
        <v>0</v>
      </c>
      <c r="F257" s="32">
        <v>731950508</v>
      </c>
      <c r="G257" s="32">
        <v>449525716</v>
      </c>
    </row>
    <row r="258" spans="1:7" s="33" customFormat="1" x14ac:dyDescent="0.2">
      <c r="A258" s="29" t="s">
        <v>481</v>
      </c>
      <c r="B258" s="30">
        <v>6</v>
      </c>
      <c r="C258" s="29" t="s">
        <v>292</v>
      </c>
      <c r="D258" s="32">
        <v>0</v>
      </c>
      <c r="E258" s="32">
        <v>0</v>
      </c>
      <c r="F258" s="32">
        <v>1212343231</v>
      </c>
      <c r="G258" s="32">
        <v>697889731</v>
      </c>
    </row>
    <row r="259" spans="1:7" s="33" customFormat="1" x14ac:dyDescent="0.2">
      <c r="A259" s="29" t="s">
        <v>482</v>
      </c>
      <c r="B259" s="30">
        <v>6</v>
      </c>
      <c r="C259" s="29" t="s">
        <v>445</v>
      </c>
      <c r="D259" s="32">
        <v>0</v>
      </c>
      <c r="E259" s="32">
        <v>0</v>
      </c>
      <c r="F259" s="32">
        <v>121326644</v>
      </c>
      <c r="G259" s="32">
        <v>80995602</v>
      </c>
    </row>
    <row r="260" spans="1:7" s="33" customFormat="1" x14ac:dyDescent="0.2">
      <c r="A260" s="29" t="s">
        <v>483</v>
      </c>
      <c r="B260" s="30">
        <v>6</v>
      </c>
      <c r="C260" s="29" t="s">
        <v>306</v>
      </c>
      <c r="D260" s="32">
        <v>0</v>
      </c>
      <c r="E260" s="32">
        <v>0</v>
      </c>
      <c r="F260" s="32">
        <v>1202876161</v>
      </c>
      <c r="G260" s="32">
        <v>692794076</v>
      </c>
    </row>
    <row r="261" spans="1:7" x14ac:dyDescent="0.2">
      <c r="A261" s="25" t="s">
        <v>484</v>
      </c>
      <c r="B261" s="26">
        <v>4</v>
      </c>
      <c r="C261" s="25" t="s">
        <v>485</v>
      </c>
      <c r="D261" s="28">
        <v>0</v>
      </c>
      <c r="E261" s="28">
        <v>0</v>
      </c>
      <c r="F261" s="28">
        <v>11468827934</v>
      </c>
      <c r="G261" s="28">
        <v>3631139289</v>
      </c>
    </row>
    <row r="262" spans="1:7" s="33" customFormat="1" x14ac:dyDescent="0.2">
      <c r="A262" s="29" t="s">
        <v>486</v>
      </c>
      <c r="B262" s="30">
        <v>6</v>
      </c>
      <c r="C262" s="29" t="s">
        <v>487</v>
      </c>
      <c r="D262" s="32">
        <v>0</v>
      </c>
      <c r="E262" s="32">
        <v>0</v>
      </c>
      <c r="F262" s="32">
        <v>4625665507</v>
      </c>
      <c r="G262" s="32">
        <v>95931194</v>
      </c>
    </row>
    <row r="263" spans="1:7" s="33" customFormat="1" x14ac:dyDescent="0.2">
      <c r="A263" s="29" t="s">
        <v>488</v>
      </c>
      <c r="B263" s="30">
        <v>6</v>
      </c>
      <c r="C263" s="29" t="s">
        <v>223</v>
      </c>
      <c r="D263" s="32">
        <v>0</v>
      </c>
      <c r="E263" s="32">
        <v>0</v>
      </c>
      <c r="F263" s="32">
        <v>6477175287</v>
      </c>
      <c r="G263" s="32">
        <v>369605469</v>
      </c>
    </row>
    <row r="264" spans="1:7" s="33" customFormat="1" x14ac:dyDescent="0.2">
      <c r="A264" s="29" t="s">
        <v>489</v>
      </c>
      <c r="B264" s="30">
        <v>6</v>
      </c>
      <c r="C264" s="29" t="s">
        <v>310</v>
      </c>
      <c r="D264" s="32">
        <v>0</v>
      </c>
      <c r="E264" s="32">
        <v>0</v>
      </c>
      <c r="F264" s="32">
        <v>39283051</v>
      </c>
      <c r="G264" s="32">
        <v>49481977</v>
      </c>
    </row>
    <row r="265" spans="1:7" s="33" customFormat="1" x14ac:dyDescent="0.2">
      <c r="A265" s="29" t="s">
        <v>490</v>
      </c>
      <c r="B265" s="30">
        <v>6</v>
      </c>
      <c r="C265" s="29" t="s">
        <v>491</v>
      </c>
      <c r="D265" s="32">
        <v>0</v>
      </c>
      <c r="E265" s="32">
        <v>0</v>
      </c>
      <c r="F265" s="32">
        <v>106773259</v>
      </c>
      <c r="G265" s="32">
        <v>85459469</v>
      </c>
    </row>
    <row r="266" spans="1:7" s="33" customFormat="1" x14ac:dyDescent="0.2">
      <c r="A266" s="29" t="s">
        <v>492</v>
      </c>
      <c r="B266" s="30">
        <v>6</v>
      </c>
      <c r="C266" s="29" t="s">
        <v>454</v>
      </c>
      <c r="D266" s="32">
        <v>0</v>
      </c>
      <c r="E266" s="32">
        <v>0</v>
      </c>
      <c r="F266" s="32">
        <v>168534384</v>
      </c>
      <c r="G266" s="32">
        <v>89814299</v>
      </c>
    </row>
    <row r="267" spans="1:7" s="33" customFormat="1" x14ac:dyDescent="0.2">
      <c r="A267" s="29" t="s">
        <v>493</v>
      </c>
      <c r="B267" s="30">
        <v>6</v>
      </c>
      <c r="C267" s="29" t="s">
        <v>452</v>
      </c>
      <c r="D267" s="32">
        <v>0</v>
      </c>
      <c r="E267" s="32">
        <v>0</v>
      </c>
      <c r="F267" s="32">
        <v>51396446</v>
      </c>
      <c r="G267" s="32">
        <v>20532820</v>
      </c>
    </row>
    <row r="268" spans="1:7" x14ac:dyDescent="0.2">
      <c r="A268" s="25" t="s">
        <v>494</v>
      </c>
      <c r="B268" s="26">
        <v>4</v>
      </c>
      <c r="C268" s="25" t="s">
        <v>495</v>
      </c>
      <c r="D268" s="28">
        <v>46514535526</v>
      </c>
      <c r="E268" s="28">
        <v>29223854597</v>
      </c>
      <c r="F268" s="28">
        <v>17469963753</v>
      </c>
      <c r="G268" s="28">
        <v>6834674789</v>
      </c>
    </row>
    <row r="269" spans="1:7" s="33" customFormat="1" x14ac:dyDescent="0.2">
      <c r="A269" s="29" t="s">
        <v>496</v>
      </c>
      <c r="B269" s="30">
        <v>6</v>
      </c>
      <c r="C269" s="29" t="s">
        <v>497</v>
      </c>
      <c r="D269" s="32">
        <v>5035383009</v>
      </c>
      <c r="E269" s="32">
        <v>17389895401</v>
      </c>
      <c r="F269" s="32">
        <v>0</v>
      </c>
      <c r="G269" s="32">
        <v>0</v>
      </c>
    </row>
    <row r="270" spans="1:7" s="33" customFormat="1" x14ac:dyDescent="0.2">
      <c r="A270" s="29" t="s">
        <v>498</v>
      </c>
      <c r="B270" s="30">
        <v>6</v>
      </c>
      <c r="C270" s="29" t="s">
        <v>499</v>
      </c>
      <c r="D270" s="32">
        <v>0</v>
      </c>
      <c r="E270" s="32">
        <v>1037625120</v>
      </c>
      <c r="F270" s="32">
        <v>278206691</v>
      </c>
      <c r="G270" s="32">
        <v>54300138</v>
      </c>
    </row>
    <row r="271" spans="1:7" s="33" customFormat="1" x14ac:dyDescent="0.2">
      <c r="A271" s="29" t="s">
        <v>500</v>
      </c>
      <c r="B271" s="30">
        <v>6</v>
      </c>
      <c r="C271" s="29" t="s">
        <v>501</v>
      </c>
      <c r="D271" s="32">
        <v>10341215</v>
      </c>
      <c r="E271" s="32">
        <v>275746964</v>
      </c>
      <c r="F271" s="32">
        <v>244161980</v>
      </c>
      <c r="G271" s="32">
        <v>97593836</v>
      </c>
    </row>
    <row r="272" spans="1:7" s="33" customFormat="1" x14ac:dyDescent="0.2">
      <c r="A272" s="29" t="s">
        <v>502</v>
      </c>
      <c r="B272" s="30">
        <v>6</v>
      </c>
      <c r="C272" s="29" t="s">
        <v>503</v>
      </c>
      <c r="D272" s="32">
        <v>154972283</v>
      </c>
      <c r="E272" s="32">
        <v>559724922</v>
      </c>
      <c r="F272" s="32">
        <v>503087859</v>
      </c>
      <c r="G272" s="32">
        <v>168842450</v>
      </c>
    </row>
    <row r="273" spans="1:7" s="33" customFormat="1" x14ac:dyDescent="0.2">
      <c r="A273" s="29" t="s">
        <v>504</v>
      </c>
      <c r="B273" s="30">
        <v>6</v>
      </c>
      <c r="C273" s="29" t="s">
        <v>505</v>
      </c>
      <c r="D273" s="32">
        <v>98336380</v>
      </c>
      <c r="E273" s="32">
        <v>118149944</v>
      </c>
      <c r="F273" s="32">
        <v>60235593</v>
      </c>
      <c r="G273" s="32">
        <v>49121068</v>
      </c>
    </row>
    <row r="274" spans="1:7" s="33" customFormat="1" x14ac:dyDescent="0.2">
      <c r="A274" s="29" t="s">
        <v>506</v>
      </c>
      <c r="B274" s="30">
        <v>6</v>
      </c>
      <c r="C274" s="29" t="s">
        <v>207</v>
      </c>
      <c r="D274" s="32">
        <v>856613609</v>
      </c>
      <c r="E274" s="32">
        <v>2367548655</v>
      </c>
      <c r="F274" s="32">
        <v>2797673542</v>
      </c>
      <c r="G274" s="32">
        <v>1401302468</v>
      </c>
    </row>
    <row r="275" spans="1:7" s="33" customFormat="1" x14ac:dyDescent="0.2">
      <c r="A275" s="29" t="s">
        <v>507</v>
      </c>
      <c r="B275" s="30">
        <v>6</v>
      </c>
      <c r="C275" s="29" t="s">
        <v>508</v>
      </c>
      <c r="D275" s="32">
        <v>1533788346</v>
      </c>
      <c r="E275" s="32">
        <v>6055376476</v>
      </c>
      <c r="F275" s="32">
        <v>5502047988</v>
      </c>
      <c r="G275" s="32">
        <v>2520728500</v>
      </c>
    </row>
    <row r="276" spans="1:7" s="33" customFormat="1" x14ac:dyDescent="0.2">
      <c r="A276" s="29" t="s">
        <v>509</v>
      </c>
      <c r="B276" s="30">
        <v>6</v>
      </c>
      <c r="C276" s="29" t="s">
        <v>211</v>
      </c>
      <c r="D276" s="32">
        <v>0</v>
      </c>
      <c r="E276" s="32">
        <v>680600</v>
      </c>
      <c r="F276" s="32">
        <v>206800</v>
      </c>
      <c r="G276" s="32">
        <v>800000</v>
      </c>
    </row>
    <row r="277" spans="1:7" s="33" customFormat="1" x14ac:dyDescent="0.2">
      <c r="A277" s="29" t="s">
        <v>510</v>
      </c>
      <c r="B277" s="30">
        <v>6</v>
      </c>
      <c r="C277" s="29" t="s">
        <v>511</v>
      </c>
      <c r="D277" s="32">
        <v>701804226</v>
      </c>
      <c r="E277" s="32">
        <v>60570863</v>
      </c>
      <c r="F277" s="32">
        <v>344092146</v>
      </c>
      <c r="G277" s="32">
        <v>139958994</v>
      </c>
    </row>
    <row r="278" spans="1:7" s="33" customFormat="1" x14ac:dyDescent="0.2">
      <c r="A278" s="29" t="s">
        <v>512</v>
      </c>
      <c r="B278" s="30">
        <v>6</v>
      </c>
      <c r="C278" s="29" t="s">
        <v>513</v>
      </c>
      <c r="D278" s="32">
        <v>144584286</v>
      </c>
      <c r="E278" s="32">
        <v>85521465</v>
      </c>
      <c r="F278" s="32">
        <v>148793101</v>
      </c>
      <c r="G278" s="32">
        <v>104952060</v>
      </c>
    </row>
    <row r="279" spans="1:7" s="33" customFormat="1" x14ac:dyDescent="0.2">
      <c r="A279" s="29" t="s">
        <v>514</v>
      </c>
      <c r="B279" s="30">
        <v>6</v>
      </c>
      <c r="C279" s="29" t="s">
        <v>515</v>
      </c>
      <c r="D279" s="32">
        <v>533300</v>
      </c>
      <c r="E279" s="32">
        <v>701450</v>
      </c>
      <c r="F279" s="32">
        <v>2970931</v>
      </c>
      <c r="G279" s="32">
        <v>85900</v>
      </c>
    </row>
    <row r="280" spans="1:7" s="33" customFormat="1" x14ac:dyDescent="0.2">
      <c r="A280" s="29" t="s">
        <v>516</v>
      </c>
      <c r="B280" s="30">
        <v>6</v>
      </c>
      <c r="C280" s="29" t="s">
        <v>517</v>
      </c>
      <c r="D280" s="32">
        <v>49118822</v>
      </c>
      <c r="E280" s="32">
        <v>32658742</v>
      </c>
      <c r="F280" s="32">
        <v>215077</v>
      </c>
      <c r="G280" s="32">
        <v>65390239</v>
      </c>
    </row>
    <row r="281" spans="1:7" s="33" customFormat="1" x14ac:dyDescent="0.2">
      <c r="A281" s="29" t="s">
        <v>518</v>
      </c>
      <c r="B281" s="30">
        <v>6</v>
      </c>
      <c r="C281" s="29" t="s">
        <v>519</v>
      </c>
      <c r="D281" s="32">
        <v>226342729</v>
      </c>
      <c r="E281" s="32">
        <v>28253903</v>
      </c>
      <c r="F281" s="32">
        <v>10102368</v>
      </c>
      <c r="G281" s="32">
        <v>8439480</v>
      </c>
    </row>
    <row r="282" spans="1:7" s="33" customFormat="1" x14ac:dyDescent="0.2">
      <c r="A282" s="29" t="s">
        <v>520</v>
      </c>
      <c r="B282" s="30">
        <v>6</v>
      </c>
      <c r="C282" s="29" t="s">
        <v>521</v>
      </c>
      <c r="D282" s="32">
        <v>37688896</v>
      </c>
      <c r="E282" s="32">
        <v>35146830</v>
      </c>
      <c r="F282" s="32">
        <v>28735332</v>
      </c>
      <c r="G282" s="32">
        <v>25262600</v>
      </c>
    </row>
    <row r="283" spans="1:7" s="33" customFormat="1" x14ac:dyDescent="0.2">
      <c r="A283" s="29" t="s">
        <v>522</v>
      </c>
      <c r="B283" s="30">
        <v>6</v>
      </c>
      <c r="C283" s="29" t="s">
        <v>523</v>
      </c>
      <c r="D283" s="32">
        <v>37512303324</v>
      </c>
      <c r="E283" s="32">
        <v>665796437</v>
      </c>
      <c r="F283" s="32">
        <v>952605826</v>
      </c>
      <c r="G283" s="32">
        <v>563101995</v>
      </c>
    </row>
    <row r="284" spans="1:7" s="33" customFormat="1" x14ac:dyDescent="0.2">
      <c r="A284" s="29" t="s">
        <v>524</v>
      </c>
      <c r="B284" s="30">
        <v>6</v>
      </c>
      <c r="C284" s="29" t="s">
        <v>525</v>
      </c>
      <c r="D284" s="32">
        <v>31464399</v>
      </c>
      <c r="E284" s="32">
        <v>182032525</v>
      </c>
      <c r="F284" s="32">
        <v>238379554</v>
      </c>
      <c r="G284" s="32">
        <v>109867339</v>
      </c>
    </row>
    <row r="285" spans="1:7" s="33" customFormat="1" x14ac:dyDescent="0.2">
      <c r="A285" s="29" t="s">
        <v>526</v>
      </c>
      <c r="B285" s="30">
        <v>6</v>
      </c>
      <c r="C285" s="29" t="s">
        <v>527</v>
      </c>
      <c r="D285" s="32">
        <v>112559344</v>
      </c>
      <c r="E285" s="32">
        <v>164755859</v>
      </c>
      <c r="F285" s="32">
        <v>188916594</v>
      </c>
      <c r="G285" s="32">
        <v>77306383</v>
      </c>
    </row>
    <row r="286" spans="1:7" s="33" customFormat="1" x14ac:dyDescent="0.2">
      <c r="A286" s="29" t="s">
        <v>528</v>
      </c>
      <c r="B286" s="30">
        <v>6</v>
      </c>
      <c r="C286" s="29" t="s">
        <v>529</v>
      </c>
      <c r="D286" s="32">
        <v>6185760</v>
      </c>
      <c r="E286" s="32">
        <v>155066161</v>
      </c>
      <c r="F286" s="32">
        <v>234392637</v>
      </c>
      <c r="G286" s="32">
        <v>118761718</v>
      </c>
    </row>
    <row r="287" spans="1:7" s="33" customFormat="1" x14ac:dyDescent="0.2">
      <c r="A287" s="29" t="s">
        <v>530</v>
      </c>
      <c r="B287" s="30">
        <v>6</v>
      </c>
      <c r="C287" s="29" t="s">
        <v>531</v>
      </c>
      <c r="D287" s="32">
        <v>2515598</v>
      </c>
      <c r="E287" s="32">
        <v>4702280</v>
      </c>
      <c r="F287" s="32">
        <v>4771209</v>
      </c>
      <c r="G287" s="32">
        <v>2332550</v>
      </c>
    </row>
    <row r="288" spans="1:7" s="33" customFormat="1" x14ac:dyDescent="0.2">
      <c r="A288" s="29" t="s">
        <v>532</v>
      </c>
      <c r="B288" s="30">
        <v>6</v>
      </c>
      <c r="C288" s="29" t="s">
        <v>533</v>
      </c>
      <c r="D288" s="32">
        <v>0</v>
      </c>
      <c r="E288" s="32">
        <v>3900000</v>
      </c>
      <c r="F288" s="32">
        <v>0</v>
      </c>
      <c r="G288" s="32">
        <v>0</v>
      </c>
    </row>
    <row r="289" spans="1:7" s="33" customFormat="1" x14ac:dyDescent="0.2">
      <c r="A289" s="29" t="s">
        <v>534</v>
      </c>
      <c r="B289" s="30">
        <v>6</v>
      </c>
      <c r="C289" s="34" t="s">
        <v>232</v>
      </c>
      <c r="D289" s="32">
        <v>0</v>
      </c>
      <c r="E289" s="32">
        <v>0</v>
      </c>
      <c r="F289" s="32">
        <v>15801897</v>
      </c>
      <c r="G289" s="32">
        <v>0</v>
      </c>
    </row>
    <row r="290" spans="1:7" s="33" customFormat="1" x14ac:dyDescent="0.2">
      <c r="A290" s="29" t="s">
        <v>535</v>
      </c>
      <c r="B290" s="30">
        <v>6</v>
      </c>
      <c r="C290" s="34" t="s">
        <v>223</v>
      </c>
      <c r="D290" s="32">
        <v>0</v>
      </c>
      <c r="E290" s="32">
        <v>0</v>
      </c>
      <c r="F290" s="32">
        <v>2373289628</v>
      </c>
      <c r="G290" s="32">
        <v>300200635</v>
      </c>
    </row>
    <row r="291" spans="1:7" s="33" customFormat="1" x14ac:dyDescent="0.2">
      <c r="A291" s="29" t="s">
        <v>536</v>
      </c>
      <c r="B291" s="30">
        <v>6</v>
      </c>
      <c r="C291" s="34" t="s">
        <v>225</v>
      </c>
      <c r="D291" s="32">
        <v>0</v>
      </c>
      <c r="E291" s="32">
        <v>0</v>
      </c>
      <c r="F291" s="32">
        <v>3541277000</v>
      </c>
      <c r="G291" s="32">
        <v>1026326436</v>
      </c>
    </row>
    <row r="292" spans="1:7" x14ac:dyDescent="0.2">
      <c r="A292" s="25" t="s">
        <v>537</v>
      </c>
      <c r="B292" s="26">
        <v>4</v>
      </c>
      <c r="C292" s="25" t="s">
        <v>538</v>
      </c>
      <c r="D292" s="28">
        <v>384430815</v>
      </c>
      <c r="E292" s="28">
        <v>493091001</v>
      </c>
      <c r="F292" s="28">
        <v>172991490</v>
      </c>
      <c r="G292" s="28">
        <v>2458325</v>
      </c>
    </row>
    <row r="293" spans="1:7" s="33" customFormat="1" x14ac:dyDescent="0.2">
      <c r="A293" s="29" t="s">
        <v>539</v>
      </c>
      <c r="B293" s="30">
        <v>6</v>
      </c>
      <c r="C293" s="34" t="s">
        <v>540</v>
      </c>
      <c r="D293" s="32">
        <v>0</v>
      </c>
      <c r="E293" s="32">
        <v>167531000</v>
      </c>
      <c r="F293" s="32">
        <v>0</v>
      </c>
      <c r="G293" s="32">
        <v>0</v>
      </c>
    </row>
    <row r="294" spans="1:7" s="33" customFormat="1" x14ac:dyDescent="0.2">
      <c r="A294" s="29" t="s">
        <v>541</v>
      </c>
      <c r="B294" s="30">
        <v>6</v>
      </c>
      <c r="C294" s="29" t="s">
        <v>542</v>
      </c>
      <c r="D294" s="32">
        <v>383037235</v>
      </c>
      <c r="E294" s="32">
        <v>260890987</v>
      </c>
      <c r="F294" s="32">
        <v>168163867</v>
      </c>
      <c r="G294" s="32">
        <v>0</v>
      </c>
    </row>
    <row r="295" spans="1:7" s="33" customFormat="1" x14ac:dyDescent="0.2">
      <c r="A295" s="29" t="s">
        <v>543</v>
      </c>
      <c r="B295" s="30">
        <v>6</v>
      </c>
      <c r="C295" s="29" t="s">
        <v>544</v>
      </c>
      <c r="D295" s="32">
        <v>0</v>
      </c>
      <c r="E295" s="32">
        <v>58243251</v>
      </c>
      <c r="F295" s="32">
        <v>0</v>
      </c>
      <c r="G295" s="32">
        <v>0</v>
      </c>
    </row>
    <row r="296" spans="1:7" s="33" customFormat="1" x14ac:dyDescent="0.2">
      <c r="A296" s="29" t="s">
        <v>545</v>
      </c>
      <c r="B296" s="30">
        <v>6</v>
      </c>
      <c r="C296" s="29" t="s">
        <v>546</v>
      </c>
      <c r="D296" s="32">
        <v>1393580</v>
      </c>
      <c r="E296" s="32">
        <v>6425763</v>
      </c>
      <c r="F296" s="32">
        <v>4827623</v>
      </c>
      <c r="G296" s="32">
        <v>2451709</v>
      </c>
    </row>
    <row r="297" spans="1:7" ht="12.75" x14ac:dyDescent="0.2">
      <c r="A297" s="20" t="s">
        <v>547</v>
      </c>
      <c r="B297" s="21">
        <v>2</v>
      </c>
      <c r="C297" s="22" t="s">
        <v>548</v>
      </c>
      <c r="D297" s="23">
        <v>10413317182</v>
      </c>
      <c r="E297" s="23">
        <v>13653036035</v>
      </c>
      <c r="F297" s="23">
        <v>3342558844</v>
      </c>
      <c r="G297" s="23">
        <v>1831679753</v>
      </c>
    </row>
    <row r="298" spans="1:7" x14ac:dyDescent="0.2">
      <c r="A298" s="25" t="s">
        <v>549</v>
      </c>
      <c r="B298" s="26">
        <v>4</v>
      </c>
      <c r="C298" s="25" t="s">
        <v>550</v>
      </c>
      <c r="D298" s="28">
        <v>9139558610</v>
      </c>
      <c r="E298" s="28">
        <v>13126712403</v>
      </c>
      <c r="F298" s="28">
        <v>0</v>
      </c>
      <c r="G298" s="28">
        <v>0</v>
      </c>
    </row>
    <row r="299" spans="1:7" s="33" customFormat="1" x14ac:dyDescent="0.2">
      <c r="A299" s="29" t="s">
        <v>551</v>
      </c>
      <c r="B299" s="30">
        <v>6</v>
      </c>
      <c r="C299" s="29" t="s">
        <v>61</v>
      </c>
      <c r="D299" s="32">
        <v>9139558610</v>
      </c>
      <c r="E299" s="32">
        <v>13126712403</v>
      </c>
      <c r="F299" s="32">
        <v>0</v>
      </c>
      <c r="G299" s="32">
        <v>0</v>
      </c>
    </row>
    <row r="300" spans="1:7" x14ac:dyDescent="0.2">
      <c r="A300" s="25" t="s">
        <v>552</v>
      </c>
      <c r="B300" s="26">
        <v>4</v>
      </c>
      <c r="C300" s="25" t="s">
        <v>553</v>
      </c>
      <c r="D300" s="28">
        <v>0</v>
      </c>
      <c r="E300" s="28">
        <v>47622979</v>
      </c>
      <c r="F300" s="28">
        <v>0</v>
      </c>
      <c r="G300" s="28">
        <v>0</v>
      </c>
    </row>
    <row r="301" spans="1:7" s="33" customFormat="1" x14ac:dyDescent="0.2">
      <c r="A301" s="29" t="s">
        <v>554</v>
      </c>
      <c r="B301" s="30">
        <v>6</v>
      </c>
      <c r="C301" s="29" t="s">
        <v>334</v>
      </c>
      <c r="D301" s="32">
        <v>0</v>
      </c>
      <c r="E301" s="32">
        <v>39922979</v>
      </c>
      <c r="F301" s="32">
        <v>0</v>
      </c>
      <c r="G301" s="32">
        <v>0</v>
      </c>
    </row>
    <row r="302" spans="1:7" s="33" customFormat="1" x14ac:dyDescent="0.2">
      <c r="A302" s="29" t="s">
        <v>555</v>
      </c>
      <c r="B302" s="30">
        <v>6</v>
      </c>
      <c r="C302" s="29" t="s">
        <v>336</v>
      </c>
      <c r="D302" s="32">
        <v>0</v>
      </c>
      <c r="E302" s="32">
        <v>7700000</v>
      </c>
      <c r="F302" s="32">
        <v>0</v>
      </c>
      <c r="G302" s="32">
        <v>0</v>
      </c>
    </row>
    <row r="303" spans="1:7" x14ac:dyDescent="0.2">
      <c r="A303" s="25" t="s">
        <v>556</v>
      </c>
      <c r="B303" s="26">
        <v>4</v>
      </c>
      <c r="C303" s="25" t="s">
        <v>557</v>
      </c>
      <c r="D303" s="28">
        <v>964239818</v>
      </c>
      <c r="E303" s="28">
        <v>188268000</v>
      </c>
      <c r="F303" s="28">
        <v>0</v>
      </c>
      <c r="G303" s="28">
        <v>0</v>
      </c>
    </row>
    <row r="304" spans="1:7" s="33" customFormat="1" x14ac:dyDescent="0.2">
      <c r="A304" s="29" t="s">
        <v>558</v>
      </c>
      <c r="B304" s="30">
        <v>6</v>
      </c>
      <c r="C304" s="29" t="s">
        <v>347</v>
      </c>
      <c r="D304" s="32">
        <v>964239818</v>
      </c>
      <c r="E304" s="32">
        <v>188268000</v>
      </c>
      <c r="F304" s="32">
        <v>0</v>
      </c>
      <c r="G304" s="32">
        <v>0</v>
      </c>
    </row>
    <row r="305" spans="1:7" x14ac:dyDescent="0.2">
      <c r="A305" s="25" t="s">
        <v>559</v>
      </c>
      <c r="B305" s="26">
        <v>4</v>
      </c>
      <c r="C305" s="25" t="s">
        <v>560</v>
      </c>
      <c r="D305" s="28">
        <v>66661429</v>
      </c>
      <c r="E305" s="28">
        <v>47286786</v>
      </c>
      <c r="F305" s="28">
        <v>0</v>
      </c>
      <c r="G305" s="28">
        <v>0</v>
      </c>
    </row>
    <row r="306" spans="1:7" s="33" customFormat="1" x14ac:dyDescent="0.2">
      <c r="A306" s="29" t="s">
        <v>561</v>
      </c>
      <c r="B306" s="30">
        <v>6</v>
      </c>
      <c r="C306" s="29" t="s">
        <v>129</v>
      </c>
      <c r="D306" s="32">
        <v>44094661</v>
      </c>
      <c r="E306" s="32">
        <v>16672005</v>
      </c>
      <c r="F306" s="32">
        <v>0</v>
      </c>
      <c r="G306" s="32">
        <v>0</v>
      </c>
    </row>
    <row r="307" spans="1:7" s="33" customFormat="1" x14ac:dyDescent="0.2">
      <c r="A307" s="29" t="s">
        <v>562</v>
      </c>
      <c r="B307" s="30">
        <v>6</v>
      </c>
      <c r="C307" s="29" t="s">
        <v>563</v>
      </c>
      <c r="D307" s="32">
        <v>20320093</v>
      </c>
      <c r="E307" s="32">
        <v>22797164</v>
      </c>
      <c r="F307" s="32">
        <v>0</v>
      </c>
      <c r="G307" s="32">
        <v>0</v>
      </c>
    </row>
    <row r="308" spans="1:7" s="33" customFormat="1" x14ac:dyDescent="0.2">
      <c r="A308" s="29" t="s">
        <v>564</v>
      </c>
      <c r="B308" s="30">
        <v>6</v>
      </c>
      <c r="C308" s="29" t="s">
        <v>141</v>
      </c>
      <c r="D308" s="32">
        <v>2246675</v>
      </c>
      <c r="E308" s="32">
        <v>7817617</v>
      </c>
      <c r="F308" s="32">
        <v>0</v>
      </c>
      <c r="G308" s="32">
        <v>0</v>
      </c>
    </row>
    <row r="309" spans="1:7" x14ac:dyDescent="0.2">
      <c r="A309" s="25" t="s">
        <v>565</v>
      </c>
      <c r="B309" s="26">
        <v>4</v>
      </c>
      <c r="C309" s="25" t="s">
        <v>566</v>
      </c>
      <c r="D309" s="28">
        <v>242857325</v>
      </c>
      <c r="E309" s="28">
        <v>243145867</v>
      </c>
      <c r="F309" s="28">
        <v>0</v>
      </c>
      <c r="G309" s="28">
        <v>0</v>
      </c>
    </row>
    <row r="310" spans="1:7" s="33" customFormat="1" x14ac:dyDescent="0.2">
      <c r="A310" s="29" t="s">
        <v>567</v>
      </c>
      <c r="B310" s="30">
        <v>6</v>
      </c>
      <c r="C310" s="29" t="s">
        <v>568</v>
      </c>
      <c r="D310" s="32">
        <v>218520000</v>
      </c>
      <c r="E310" s="32">
        <v>218520000</v>
      </c>
      <c r="F310" s="32">
        <v>0</v>
      </c>
      <c r="G310" s="32">
        <v>0</v>
      </c>
    </row>
    <row r="311" spans="1:7" s="33" customFormat="1" x14ac:dyDescent="0.2">
      <c r="A311" s="29" t="s">
        <v>569</v>
      </c>
      <c r="B311" s="30">
        <v>6</v>
      </c>
      <c r="C311" s="29" t="s">
        <v>570</v>
      </c>
      <c r="D311" s="32">
        <v>24337325</v>
      </c>
      <c r="E311" s="32">
        <v>24625867</v>
      </c>
      <c r="F311" s="32">
        <v>0</v>
      </c>
      <c r="G311" s="32">
        <v>0</v>
      </c>
    </row>
    <row r="312" spans="1:7" x14ac:dyDescent="0.2">
      <c r="A312" s="25" t="s">
        <v>571</v>
      </c>
      <c r="B312" s="26">
        <v>4</v>
      </c>
      <c r="C312" s="25" t="s">
        <v>572</v>
      </c>
      <c r="D312" s="28">
        <v>0</v>
      </c>
      <c r="E312" s="28">
        <v>0</v>
      </c>
      <c r="F312" s="28">
        <v>2535769364</v>
      </c>
      <c r="G312" s="28">
        <v>1619091206</v>
      </c>
    </row>
    <row r="313" spans="1:7" s="33" customFormat="1" x14ac:dyDescent="0.2">
      <c r="A313" s="29" t="s">
        <v>573</v>
      </c>
      <c r="B313" s="30">
        <v>6</v>
      </c>
      <c r="C313" s="29" t="s">
        <v>61</v>
      </c>
      <c r="D313" s="32">
        <v>0</v>
      </c>
      <c r="E313" s="32">
        <v>0</v>
      </c>
      <c r="F313" s="32">
        <v>2523178194</v>
      </c>
      <c r="G313" s="32">
        <v>1611574438</v>
      </c>
    </row>
    <row r="314" spans="1:7" s="33" customFormat="1" x14ac:dyDescent="0.2">
      <c r="A314" s="29" t="s">
        <v>574</v>
      </c>
      <c r="B314" s="30">
        <v>6</v>
      </c>
      <c r="C314" s="29" t="s">
        <v>61</v>
      </c>
      <c r="D314" s="32">
        <v>0</v>
      </c>
      <c r="E314" s="32">
        <v>0</v>
      </c>
      <c r="F314" s="32">
        <v>12591170</v>
      </c>
      <c r="G314" s="32">
        <v>7516768</v>
      </c>
    </row>
    <row r="315" spans="1:7" x14ac:dyDescent="0.2">
      <c r="A315" s="25" t="s">
        <v>575</v>
      </c>
      <c r="B315" s="26">
        <v>4</v>
      </c>
      <c r="C315" s="25" t="s">
        <v>560</v>
      </c>
      <c r="D315" s="28">
        <v>0</v>
      </c>
      <c r="E315" s="28">
        <v>0</v>
      </c>
      <c r="F315" s="28">
        <v>109068276</v>
      </c>
      <c r="G315" s="28">
        <v>47404524</v>
      </c>
    </row>
    <row r="316" spans="1:7" s="33" customFormat="1" x14ac:dyDescent="0.2">
      <c r="A316" s="29" t="s">
        <v>576</v>
      </c>
      <c r="B316" s="30">
        <v>6</v>
      </c>
      <c r="C316" s="29" t="s">
        <v>129</v>
      </c>
      <c r="D316" s="32">
        <v>0</v>
      </c>
      <c r="E316" s="32">
        <v>0</v>
      </c>
      <c r="F316" s="32">
        <v>86050982</v>
      </c>
      <c r="G316" s="32">
        <v>38142792</v>
      </c>
    </row>
    <row r="317" spans="1:7" s="33" customFormat="1" x14ac:dyDescent="0.2">
      <c r="A317" s="29" t="s">
        <v>577</v>
      </c>
      <c r="B317" s="30">
        <v>6</v>
      </c>
      <c r="C317" s="29" t="s">
        <v>563</v>
      </c>
      <c r="D317" s="32">
        <v>0</v>
      </c>
      <c r="E317" s="32">
        <v>0</v>
      </c>
      <c r="F317" s="32">
        <v>22863966</v>
      </c>
      <c r="G317" s="32">
        <v>9191324</v>
      </c>
    </row>
    <row r="318" spans="1:7" s="33" customFormat="1" x14ac:dyDescent="0.2">
      <c r="A318" s="29" t="s">
        <v>578</v>
      </c>
      <c r="B318" s="30">
        <v>6</v>
      </c>
      <c r="C318" s="29" t="s">
        <v>141</v>
      </c>
      <c r="D318" s="32">
        <v>0</v>
      </c>
      <c r="E318" s="32">
        <v>0</v>
      </c>
      <c r="F318" s="32">
        <v>153328</v>
      </c>
      <c r="G318" s="32">
        <v>70408</v>
      </c>
    </row>
    <row r="319" spans="1:7" x14ac:dyDescent="0.2">
      <c r="A319" s="25" t="s">
        <v>579</v>
      </c>
      <c r="B319" s="26">
        <v>4</v>
      </c>
      <c r="C319" s="25" t="s">
        <v>580</v>
      </c>
      <c r="D319" s="28">
        <v>0</v>
      </c>
      <c r="E319" s="28">
        <v>0</v>
      </c>
      <c r="F319" s="28">
        <v>303673970</v>
      </c>
      <c r="G319" s="28">
        <v>146293115</v>
      </c>
    </row>
    <row r="320" spans="1:7" s="33" customFormat="1" x14ac:dyDescent="0.2">
      <c r="A320" s="29" t="s">
        <v>581</v>
      </c>
      <c r="B320" s="30">
        <v>6</v>
      </c>
      <c r="C320" s="36" t="s">
        <v>330</v>
      </c>
      <c r="D320" s="32">
        <v>0</v>
      </c>
      <c r="E320" s="32">
        <v>0</v>
      </c>
      <c r="F320" s="32">
        <v>303673970</v>
      </c>
      <c r="G320" s="32">
        <v>146293115</v>
      </c>
    </row>
    <row r="321" spans="1:7" x14ac:dyDescent="0.2">
      <c r="A321" s="25" t="s">
        <v>582</v>
      </c>
      <c r="B321" s="26">
        <v>4</v>
      </c>
      <c r="C321" s="25" t="s">
        <v>557</v>
      </c>
      <c r="D321" s="28">
        <v>0</v>
      </c>
      <c r="E321" s="28">
        <v>0</v>
      </c>
      <c r="F321" s="28">
        <v>394047234</v>
      </c>
      <c r="G321" s="28">
        <v>18890908</v>
      </c>
    </row>
    <row r="322" spans="1:7" s="33" customFormat="1" x14ac:dyDescent="0.2">
      <c r="A322" s="29" t="s">
        <v>583</v>
      </c>
      <c r="B322" s="30">
        <v>6</v>
      </c>
      <c r="C322" s="36" t="s">
        <v>584</v>
      </c>
      <c r="D322" s="32">
        <v>0</v>
      </c>
      <c r="E322" s="32">
        <v>0</v>
      </c>
      <c r="F322" s="32">
        <v>394047234</v>
      </c>
      <c r="G322" s="32">
        <v>18890908</v>
      </c>
    </row>
    <row r="323" spans="1:7" ht="12.75" x14ac:dyDescent="0.2">
      <c r="A323" s="20" t="s">
        <v>585</v>
      </c>
      <c r="B323" s="21">
        <v>2</v>
      </c>
      <c r="C323" s="22" t="s">
        <v>586</v>
      </c>
      <c r="D323" s="23">
        <v>0</v>
      </c>
      <c r="E323" s="23">
        <v>0</v>
      </c>
      <c r="F323" s="23">
        <v>1799539968307</v>
      </c>
      <c r="G323" s="23">
        <v>645256162613</v>
      </c>
    </row>
    <row r="324" spans="1:7" x14ac:dyDescent="0.2">
      <c r="A324" s="25" t="s">
        <v>587</v>
      </c>
      <c r="B324" s="26">
        <v>4</v>
      </c>
      <c r="C324" s="25" t="s">
        <v>588</v>
      </c>
      <c r="D324" s="28">
        <v>0</v>
      </c>
      <c r="E324" s="28">
        <v>0</v>
      </c>
      <c r="F324" s="28">
        <v>1799539968307</v>
      </c>
      <c r="G324" s="28">
        <v>645256162613</v>
      </c>
    </row>
    <row r="325" spans="1:7" s="33" customFormat="1" x14ac:dyDescent="0.2">
      <c r="A325" s="29" t="s">
        <v>589</v>
      </c>
      <c r="B325" s="30">
        <v>6</v>
      </c>
      <c r="C325" s="29" t="s">
        <v>590</v>
      </c>
      <c r="D325" s="32">
        <v>0</v>
      </c>
      <c r="E325" s="32">
        <v>0</v>
      </c>
      <c r="F325" s="32">
        <v>22729042050</v>
      </c>
      <c r="G325" s="32">
        <v>9223733554</v>
      </c>
    </row>
    <row r="326" spans="1:7" s="33" customFormat="1" x14ac:dyDescent="0.2">
      <c r="A326" s="29" t="s">
        <v>591</v>
      </c>
      <c r="B326" s="30">
        <v>6</v>
      </c>
      <c r="C326" s="29" t="s">
        <v>592</v>
      </c>
      <c r="D326" s="32">
        <v>0</v>
      </c>
      <c r="E326" s="32">
        <v>0</v>
      </c>
      <c r="F326" s="32">
        <v>21056787352</v>
      </c>
      <c r="G326" s="32">
        <v>13027507478</v>
      </c>
    </row>
    <row r="327" spans="1:7" s="33" customFormat="1" x14ac:dyDescent="0.2">
      <c r="A327" s="29" t="s">
        <v>593</v>
      </c>
      <c r="B327" s="30">
        <v>6</v>
      </c>
      <c r="C327" s="29" t="s">
        <v>594</v>
      </c>
      <c r="D327" s="32">
        <v>0</v>
      </c>
      <c r="E327" s="32">
        <v>0</v>
      </c>
      <c r="F327" s="32">
        <v>1766142717</v>
      </c>
      <c r="G327" s="32">
        <v>1469280923</v>
      </c>
    </row>
    <row r="328" spans="1:7" s="33" customFormat="1" x14ac:dyDescent="0.2">
      <c r="A328" s="29" t="s">
        <v>595</v>
      </c>
      <c r="B328" s="30">
        <v>6</v>
      </c>
      <c r="C328" s="29" t="s">
        <v>596</v>
      </c>
      <c r="D328" s="32">
        <v>0</v>
      </c>
      <c r="E328" s="32">
        <v>0</v>
      </c>
      <c r="F328" s="32">
        <v>473730695489</v>
      </c>
      <c r="G328" s="32">
        <v>201634426049</v>
      </c>
    </row>
    <row r="329" spans="1:7" s="33" customFormat="1" x14ac:dyDescent="0.2">
      <c r="A329" s="29" t="s">
        <v>597</v>
      </c>
      <c r="B329" s="30">
        <v>6</v>
      </c>
      <c r="C329" s="29" t="s">
        <v>598</v>
      </c>
      <c r="D329" s="32">
        <v>0</v>
      </c>
      <c r="E329" s="32">
        <v>0</v>
      </c>
      <c r="F329" s="32">
        <v>1076589925395</v>
      </c>
      <c r="G329" s="32">
        <v>387808817989</v>
      </c>
    </row>
    <row r="330" spans="1:7" s="33" customFormat="1" x14ac:dyDescent="0.2">
      <c r="A330" s="29" t="s">
        <v>599</v>
      </c>
      <c r="B330" s="30">
        <v>6</v>
      </c>
      <c r="C330" s="29" t="s">
        <v>600</v>
      </c>
      <c r="D330" s="32">
        <v>0</v>
      </c>
      <c r="E330" s="32">
        <v>0</v>
      </c>
      <c r="F330" s="32">
        <v>4704909</v>
      </c>
      <c r="G330" s="32">
        <v>0</v>
      </c>
    </row>
    <row r="331" spans="1:7" s="33" customFormat="1" x14ac:dyDescent="0.2">
      <c r="A331" s="29" t="s">
        <v>601</v>
      </c>
      <c r="B331" s="30">
        <v>6</v>
      </c>
      <c r="C331" s="29" t="s">
        <v>600</v>
      </c>
      <c r="D331" s="32">
        <v>0</v>
      </c>
      <c r="E331" s="32">
        <v>0</v>
      </c>
      <c r="F331" s="32">
        <v>1312538299</v>
      </c>
      <c r="G331" s="32">
        <v>917514913</v>
      </c>
    </row>
    <row r="332" spans="1:7" s="33" customFormat="1" x14ac:dyDescent="0.2">
      <c r="A332" s="29" t="s">
        <v>602</v>
      </c>
      <c r="B332" s="30">
        <v>6</v>
      </c>
      <c r="C332" s="29" t="s">
        <v>341</v>
      </c>
      <c r="D332" s="32">
        <v>0</v>
      </c>
      <c r="E332" s="32">
        <v>0</v>
      </c>
      <c r="F332" s="32">
        <v>0</v>
      </c>
      <c r="G332" s="32">
        <v>31067663462</v>
      </c>
    </row>
    <row r="333" spans="1:7" s="33" customFormat="1" x14ac:dyDescent="0.2">
      <c r="A333" s="29" t="s">
        <v>603</v>
      </c>
      <c r="B333" s="30">
        <v>6</v>
      </c>
      <c r="C333" s="39" t="s">
        <v>343</v>
      </c>
      <c r="D333" s="32">
        <v>0</v>
      </c>
      <c r="E333" s="32">
        <v>0</v>
      </c>
      <c r="F333" s="32">
        <v>42366622294</v>
      </c>
      <c r="G333" s="32">
        <v>0</v>
      </c>
    </row>
    <row r="334" spans="1:7" s="33" customFormat="1" x14ac:dyDescent="0.2">
      <c r="A334" s="29" t="s">
        <v>604</v>
      </c>
      <c r="B334" s="30">
        <v>6</v>
      </c>
      <c r="C334" s="39" t="s">
        <v>345</v>
      </c>
      <c r="D334" s="32">
        <v>0</v>
      </c>
      <c r="E334" s="32">
        <v>0</v>
      </c>
      <c r="F334" s="32">
        <v>1214868213</v>
      </c>
      <c r="G334" s="32">
        <v>10511475</v>
      </c>
    </row>
    <row r="335" spans="1:7" s="33" customFormat="1" x14ac:dyDescent="0.2">
      <c r="A335" s="29" t="s">
        <v>605</v>
      </c>
      <c r="B335" s="30">
        <v>6</v>
      </c>
      <c r="C335" s="39" t="s">
        <v>606</v>
      </c>
      <c r="D335" s="32">
        <v>0</v>
      </c>
      <c r="E335" s="32">
        <v>0</v>
      </c>
      <c r="F335" s="32">
        <v>158768641589</v>
      </c>
      <c r="G335" s="32">
        <v>96706770</v>
      </c>
    </row>
    <row r="336" spans="1:7" ht="12.75" x14ac:dyDescent="0.2">
      <c r="A336" s="20" t="s">
        <v>607</v>
      </c>
      <c r="B336" s="21">
        <v>2</v>
      </c>
      <c r="C336" s="22" t="s">
        <v>608</v>
      </c>
      <c r="D336" s="23">
        <v>11797174922</v>
      </c>
      <c r="E336" s="23">
        <v>29586405422</v>
      </c>
      <c r="F336" s="23">
        <v>5413823466</v>
      </c>
      <c r="G336" s="23">
        <v>2196824839</v>
      </c>
    </row>
    <row r="337" spans="1:7" x14ac:dyDescent="0.2">
      <c r="A337" s="25" t="s">
        <v>609</v>
      </c>
      <c r="B337" s="26">
        <v>4</v>
      </c>
      <c r="C337" s="25" t="s">
        <v>610</v>
      </c>
      <c r="D337" s="28">
        <v>2976449929</v>
      </c>
      <c r="E337" s="28">
        <v>7047842313</v>
      </c>
      <c r="F337" s="28">
        <v>0</v>
      </c>
      <c r="G337" s="28">
        <v>0</v>
      </c>
    </row>
    <row r="338" spans="1:7" s="33" customFormat="1" x14ac:dyDescent="0.2">
      <c r="A338" s="29" t="s">
        <v>611</v>
      </c>
      <c r="B338" s="30">
        <v>6</v>
      </c>
      <c r="C338" s="29" t="s">
        <v>612</v>
      </c>
      <c r="D338" s="32">
        <v>2976449929</v>
      </c>
      <c r="E338" s="32">
        <v>7047842313</v>
      </c>
      <c r="F338" s="32">
        <v>0</v>
      </c>
      <c r="G338" s="32">
        <v>0</v>
      </c>
    </row>
    <row r="339" spans="1:7" x14ac:dyDescent="0.2">
      <c r="A339" s="25" t="s">
        <v>613</v>
      </c>
      <c r="B339" s="26">
        <v>4</v>
      </c>
      <c r="C339" s="25" t="s">
        <v>232</v>
      </c>
      <c r="D339" s="28">
        <v>34011218</v>
      </c>
      <c r="E339" s="28">
        <v>80830697</v>
      </c>
      <c r="F339" s="28">
        <v>50714950</v>
      </c>
      <c r="G339" s="28">
        <v>16269883</v>
      </c>
    </row>
    <row r="340" spans="1:7" s="33" customFormat="1" x14ac:dyDescent="0.2">
      <c r="A340" s="29" t="s">
        <v>614</v>
      </c>
      <c r="B340" s="30">
        <v>6</v>
      </c>
      <c r="C340" s="29" t="s">
        <v>615</v>
      </c>
      <c r="D340" s="32">
        <v>0</v>
      </c>
      <c r="E340" s="32">
        <v>0</v>
      </c>
      <c r="F340" s="32">
        <v>1705032</v>
      </c>
      <c r="G340" s="32">
        <v>1820224</v>
      </c>
    </row>
    <row r="341" spans="1:7" s="33" customFormat="1" x14ac:dyDescent="0.2">
      <c r="A341" s="29" t="s">
        <v>616</v>
      </c>
      <c r="B341" s="30">
        <v>6</v>
      </c>
      <c r="C341" s="29" t="s">
        <v>617</v>
      </c>
      <c r="D341" s="32">
        <v>34011218</v>
      </c>
      <c r="E341" s="32">
        <v>80830697</v>
      </c>
      <c r="F341" s="32">
        <v>0</v>
      </c>
      <c r="G341" s="32">
        <v>0</v>
      </c>
    </row>
    <row r="342" spans="1:7" s="33" customFormat="1" x14ac:dyDescent="0.2">
      <c r="A342" s="29" t="s">
        <v>618</v>
      </c>
      <c r="B342" s="30">
        <v>6</v>
      </c>
      <c r="C342" s="29" t="s">
        <v>619</v>
      </c>
      <c r="D342" s="32">
        <v>0</v>
      </c>
      <c r="E342" s="32">
        <v>0</v>
      </c>
      <c r="F342" s="32">
        <v>49009918</v>
      </c>
      <c r="G342" s="32">
        <v>14449659</v>
      </c>
    </row>
    <row r="343" spans="1:7" x14ac:dyDescent="0.2">
      <c r="A343" s="25" t="s">
        <v>620</v>
      </c>
      <c r="B343" s="26">
        <v>4</v>
      </c>
      <c r="C343" s="25" t="s">
        <v>394</v>
      </c>
      <c r="D343" s="28">
        <v>0</v>
      </c>
      <c r="E343" s="28">
        <v>0</v>
      </c>
      <c r="F343" s="28">
        <v>5152753212</v>
      </c>
      <c r="G343" s="28">
        <v>1830870019</v>
      </c>
    </row>
    <row r="344" spans="1:7" s="33" customFormat="1" x14ac:dyDescent="0.2">
      <c r="A344" s="29" t="s">
        <v>621</v>
      </c>
      <c r="B344" s="30">
        <v>6</v>
      </c>
      <c r="C344" s="29" t="s">
        <v>544</v>
      </c>
      <c r="D344" s="32">
        <v>0</v>
      </c>
      <c r="E344" s="32">
        <v>0</v>
      </c>
      <c r="F344" s="32">
        <v>108954788</v>
      </c>
      <c r="G344" s="32">
        <v>41333130</v>
      </c>
    </row>
    <row r="345" spans="1:7" s="33" customFormat="1" x14ac:dyDescent="0.2">
      <c r="A345" s="29" t="s">
        <v>622</v>
      </c>
      <c r="B345" s="30">
        <v>6</v>
      </c>
      <c r="C345" s="29" t="s">
        <v>623</v>
      </c>
      <c r="D345" s="32">
        <v>0</v>
      </c>
      <c r="E345" s="32">
        <v>0</v>
      </c>
      <c r="F345" s="32">
        <v>5043798424</v>
      </c>
      <c r="G345" s="32">
        <v>1789536889</v>
      </c>
    </row>
    <row r="346" spans="1:7" x14ac:dyDescent="0.2">
      <c r="A346" s="25" t="s">
        <v>624</v>
      </c>
      <c r="B346" s="26">
        <v>4</v>
      </c>
      <c r="C346" s="25" t="s">
        <v>625</v>
      </c>
      <c r="D346" s="28">
        <v>1362436</v>
      </c>
      <c r="E346" s="28">
        <v>85000230</v>
      </c>
      <c r="F346" s="28">
        <v>0</v>
      </c>
      <c r="G346" s="28">
        <v>0</v>
      </c>
    </row>
    <row r="347" spans="1:7" s="33" customFormat="1" x14ac:dyDescent="0.2">
      <c r="A347" s="29" t="s">
        <v>626</v>
      </c>
      <c r="B347" s="30">
        <v>6</v>
      </c>
      <c r="C347" s="29" t="s">
        <v>627</v>
      </c>
      <c r="D347" s="32">
        <v>1362436</v>
      </c>
      <c r="E347" s="32">
        <v>0</v>
      </c>
      <c r="F347" s="32">
        <v>0</v>
      </c>
      <c r="G347" s="32">
        <v>0</v>
      </c>
    </row>
    <row r="348" spans="1:7" s="33" customFormat="1" x14ac:dyDescent="0.2">
      <c r="A348" s="29" t="s">
        <v>628</v>
      </c>
      <c r="B348" s="30">
        <v>6</v>
      </c>
      <c r="C348" s="34" t="s">
        <v>629</v>
      </c>
      <c r="D348" s="32">
        <v>0</v>
      </c>
      <c r="E348" s="32">
        <v>230</v>
      </c>
      <c r="F348" s="32">
        <v>0</v>
      </c>
      <c r="G348" s="32">
        <v>0</v>
      </c>
    </row>
    <row r="349" spans="1:7" s="33" customFormat="1" x14ac:dyDescent="0.2">
      <c r="A349" s="29" t="s">
        <v>630</v>
      </c>
      <c r="B349" s="30">
        <v>6</v>
      </c>
      <c r="C349" s="34" t="s">
        <v>631</v>
      </c>
      <c r="D349" s="32">
        <v>0</v>
      </c>
      <c r="E349" s="32">
        <v>85000000</v>
      </c>
      <c r="F349" s="32">
        <v>0</v>
      </c>
      <c r="G349" s="32">
        <v>0</v>
      </c>
    </row>
    <row r="350" spans="1:7" x14ac:dyDescent="0.2">
      <c r="A350" s="25" t="s">
        <v>632</v>
      </c>
      <c r="B350" s="26">
        <v>4</v>
      </c>
      <c r="C350" s="25" t="s">
        <v>418</v>
      </c>
      <c r="D350" s="28">
        <v>60000</v>
      </c>
      <c r="E350" s="28">
        <v>187345</v>
      </c>
      <c r="F350" s="28">
        <v>0</v>
      </c>
      <c r="G350" s="28">
        <v>0</v>
      </c>
    </row>
    <row r="351" spans="1:7" s="33" customFormat="1" x14ac:dyDescent="0.2">
      <c r="A351" s="29" t="s">
        <v>633</v>
      </c>
      <c r="B351" s="30">
        <v>6</v>
      </c>
      <c r="C351" s="29" t="s">
        <v>634</v>
      </c>
      <c r="D351" s="32">
        <v>60000</v>
      </c>
      <c r="E351" s="32">
        <v>187345</v>
      </c>
      <c r="F351" s="32">
        <v>0</v>
      </c>
      <c r="G351" s="32">
        <v>0</v>
      </c>
    </row>
    <row r="352" spans="1:7" x14ac:dyDescent="0.2">
      <c r="A352" s="25" t="s">
        <v>635</v>
      </c>
      <c r="B352" s="26">
        <v>4</v>
      </c>
      <c r="C352" s="25" t="s">
        <v>422</v>
      </c>
      <c r="D352" s="28">
        <v>8785291339</v>
      </c>
      <c r="E352" s="28">
        <v>22372544837</v>
      </c>
      <c r="F352" s="28">
        <v>0</v>
      </c>
      <c r="G352" s="28">
        <v>0</v>
      </c>
    </row>
    <row r="353" spans="1:7" s="33" customFormat="1" x14ac:dyDescent="0.2">
      <c r="A353" s="29" t="s">
        <v>636</v>
      </c>
      <c r="B353" s="30">
        <v>6</v>
      </c>
      <c r="C353" s="29" t="s">
        <v>608</v>
      </c>
      <c r="D353" s="32">
        <v>0</v>
      </c>
      <c r="E353" s="32">
        <v>22372544837</v>
      </c>
      <c r="F353" s="32">
        <v>0</v>
      </c>
      <c r="G353" s="32">
        <v>0</v>
      </c>
    </row>
    <row r="354" spans="1:7" x14ac:dyDescent="0.2">
      <c r="A354" s="25" t="s">
        <v>637</v>
      </c>
      <c r="B354" s="26">
        <v>4</v>
      </c>
      <c r="C354" s="25" t="s">
        <v>638</v>
      </c>
      <c r="D354" s="28">
        <v>0</v>
      </c>
      <c r="E354" s="28">
        <v>0</v>
      </c>
      <c r="F354" s="28">
        <v>210355304</v>
      </c>
      <c r="G354" s="28">
        <v>349684937</v>
      </c>
    </row>
    <row r="355" spans="1:7" s="33" customFormat="1" x14ac:dyDescent="0.2">
      <c r="A355" s="29" t="s">
        <v>639</v>
      </c>
      <c r="B355" s="30">
        <v>6</v>
      </c>
      <c r="C355" s="29" t="s">
        <v>640</v>
      </c>
      <c r="D355" s="32">
        <v>0</v>
      </c>
      <c r="E355" s="32">
        <v>0</v>
      </c>
      <c r="F355" s="32">
        <v>9317961</v>
      </c>
      <c r="G355" s="32">
        <v>0</v>
      </c>
    </row>
    <row r="356" spans="1:7" s="33" customFormat="1" x14ac:dyDescent="0.2">
      <c r="A356" s="29" t="s">
        <v>641</v>
      </c>
      <c r="B356" s="30">
        <v>6</v>
      </c>
      <c r="C356" s="29" t="s">
        <v>642</v>
      </c>
      <c r="D356" s="32">
        <v>0</v>
      </c>
      <c r="E356" s="32">
        <v>0</v>
      </c>
      <c r="F356" s="32">
        <v>193288435</v>
      </c>
      <c r="G356" s="32">
        <v>349415580</v>
      </c>
    </row>
    <row r="357" spans="1:7" s="33" customFormat="1" x14ac:dyDescent="0.2">
      <c r="A357" s="29" t="s">
        <v>643</v>
      </c>
      <c r="B357" s="30">
        <v>6</v>
      </c>
      <c r="C357" s="29" t="s">
        <v>277</v>
      </c>
      <c r="D357" s="32">
        <v>0</v>
      </c>
      <c r="E357" s="32">
        <v>0</v>
      </c>
      <c r="F357" s="32">
        <v>2273218</v>
      </c>
      <c r="G357" s="32">
        <v>0</v>
      </c>
    </row>
    <row r="358" spans="1:7" s="33" customFormat="1" x14ac:dyDescent="0.2">
      <c r="A358" s="29" t="s">
        <v>644</v>
      </c>
      <c r="B358" s="30">
        <v>6</v>
      </c>
      <c r="C358" s="29" t="s">
        <v>645</v>
      </c>
      <c r="D358" s="32">
        <v>0</v>
      </c>
      <c r="E358" s="32">
        <v>0</v>
      </c>
      <c r="F358" s="32">
        <v>5475690</v>
      </c>
      <c r="G358" s="32">
        <v>269357</v>
      </c>
    </row>
    <row r="359" spans="1:7" s="16" customFormat="1" ht="15" x14ac:dyDescent="0.25">
      <c r="A359" s="17" t="s">
        <v>646</v>
      </c>
      <c r="B359" s="18">
        <v>1</v>
      </c>
      <c r="C359" s="17" t="s">
        <v>647</v>
      </c>
      <c r="D359" s="19">
        <v>1258660361437</v>
      </c>
      <c r="E359" s="19">
        <v>1415181059075</v>
      </c>
      <c r="F359" s="19">
        <v>0</v>
      </c>
      <c r="G359" s="19">
        <v>0</v>
      </c>
    </row>
    <row r="360" spans="1:7" x14ac:dyDescent="0.2">
      <c r="A360" s="25" t="s">
        <v>648</v>
      </c>
      <c r="B360" s="26">
        <v>4</v>
      </c>
      <c r="C360" s="25" t="s">
        <v>588</v>
      </c>
      <c r="D360" s="28">
        <v>1258660361437</v>
      </c>
      <c r="E360" s="28">
        <v>1415181059075</v>
      </c>
      <c r="F360" s="28">
        <v>0</v>
      </c>
      <c r="G360" s="28">
        <v>0</v>
      </c>
    </row>
    <row r="361" spans="1:7" s="33" customFormat="1" x14ac:dyDescent="0.2">
      <c r="A361" s="29" t="s">
        <v>649</v>
      </c>
      <c r="B361" s="30">
        <v>6</v>
      </c>
      <c r="C361" s="39" t="s">
        <v>650</v>
      </c>
      <c r="D361" s="32">
        <v>2739802393</v>
      </c>
      <c r="E361" s="32">
        <v>9214969247</v>
      </c>
      <c r="F361" s="32">
        <v>0</v>
      </c>
      <c r="G361" s="32">
        <v>0</v>
      </c>
    </row>
    <row r="362" spans="1:7" s="33" customFormat="1" x14ac:dyDescent="0.2">
      <c r="A362" s="29" t="s">
        <v>651</v>
      </c>
      <c r="B362" s="30">
        <v>6</v>
      </c>
      <c r="C362" s="39" t="s">
        <v>264</v>
      </c>
      <c r="D362" s="32">
        <v>301424586627</v>
      </c>
      <c r="E362" s="32">
        <v>314228675518</v>
      </c>
      <c r="F362" s="32">
        <v>0</v>
      </c>
      <c r="G362" s="32">
        <v>0</v>
      </c>
    </row>
    <row r="363" spans="1:7" s="33" customFormat="1" x14ac:dyDescent="0.2">
      <c r="A363" s="29" t="s">
        <v>652</v>
      </c>
      <c r="B363" s="30">
        <v>6</v>
      </c>
      <c r="C363" s="39" t="s">
        <v>322</v>
      </c>
      <c r="D363" s="32">
        <v>862257280701</v>
      </c>
      <c r="E363" s="32">
        <v>1021895328815</v>
      </c>
      <c r="F363" s="32">
        <v>0</v>
      </c>
      <c r="G363" s="32">
        <v>0</v>
      </c>
    </row>
    <row r="364" spans="1:7" s="33" customFormat="1" x14ac:dyDescent="0.2">
      <c r="A364" s="29" t="s">
        <v>653</v>
      </c>
      <c r="B364" s="30">
        <v>6</v>
      </c>
      <c r="C364" s="39" t="s">
        <v>654</v>
      </c>
      <c r="D364" s="32">
        <v>20518643</v>
      </c>
      <c r="E364" s="32">
        <v>251232</v>
      </c>
      <c r="F364" s="32">
        <v>0</v>
      </c>
      <c r="G364" s="32">
        <v>0</v>
      </c>
    </row>
    <row r="365" spans="1:7" s="33" customFormat="1" x14ac:dyDescent="0.2">
      <c r="A365" s="29" t="s">
        <v>655</v>
      </c>
      <c r="B365" s="30">
        <v>6</v>
      </c>
      <c r="C365" s="34" t="s">
        <v>600</v>
      </c>
      <c r="D365" s="32">
        <v>0</v>
      </c>
      <c r="E365" s="32">
        <v>315052722</v>
      </c>
      <c r="F365" s="32">
        <v>0</v>
      </c>
      <c r="G365" s="32">
        <v>0</v>
      </c>
    </row>
    <row r="366" spans="1:7" s="33" customFormat="1" x14ac:dyDescent="0.2">
      <c r="A366" s="29" t="s">
        <v>656</v>
      </c>
      <c r="B366" s="30">
        <v>6</v>
      </c>
      <c r="C366" s="40" t="s">
        <v>341</v>
      </c>
      <c r="D366" s="32">
        <v>0</v>
      </c>
      <c r="E366" s="32">
        <v>68374470228</v>
      </c>
      <c r="F366" s="32">
        <v>0</v>
      </c>
      <c r="G366" s="32">
        <v>0</v>
      </c>
    </row>
    <row r="367" spans="1:7" s="33" customFormat="1" x14ac:dyDescent="0.2">
      <c r="A367" s="29" t="s">
        <v>657</v>
      </c>
      <c r="B367" s="30">
        <v>6</v>
      </c>
      <c r="C367" s="39" t="s">
        <v>658</v>
      </c>
      <c r="D367" s="32">
        <v>0</v>
      </c>
      <c r="E367" s="32">
        <v>1152311313</v>
      </c>
      <c r="F367" s="32">
        <v>0</v>
      </c>
      <c r="G367" s="32">
        <v>0</v>
      </c>
    </row>
    <row r="368" spans="1:7" s="33" customFormat="1" x14ac:dyDescent="0.2">
      <c r="A368" s="29" t="s">
        <v>659</v>
      </c>
      <c r="B368" s="30">
        <v>6</v>
      </c>
      <c r="C368" s="39" t="s">
        <v>660</v>
      </c>
      <c r="D368" s="32">
        <v>92218173073</v>
      </c>
      <c r="E368" s="32">
        <v>0</v>
      </c>
      <c r="F368" s="32">
        <v>0</v>
      </c>
      <c r="G368" s="32">
        <v>0</v>
      </c>
    </row>
    <row r="369" spans="1:7" s="33" customFormat="1" x14ac:dyDescent="0.2">
      <c r="A369" s="29" t="s">
        <v>661</v>
      </c>
      <c r="B369" s="30">
        <f>LEN(A369)</f>
        <v>6</v>
      </c>
      <c r="C369" s="29" t="s">
        <v>491</v>
      </c>
      <c r="D369" s="32">
        <v>0</v>
      </c>
      <c r="E369" s="32">
        <v>0</v>
      </c>
      <c r="F369" s="32">
        <v>0</v>
      </c>
      <c r="G369" s="32">
        <v>-71071260</v>
      </c>
    </row>
    <row r="370" spans="1:7" s="33" customFormat="1" x14ac:dyDescent="0.2">
      <c r="A370" s="29" t="s">
        <v>662</v>
      </c>
      <c r="B370" s="30">
        <f>LEN(A370)</f>
        <v>6</v>
      </c>
      <c r="C370" s="29" t="s">
        <v>600</v>
      </c>
      <c r="D370" s="32">
        <v>0</v>
      </c>
      <c r="E370" s="32">
        <v>0</v>
      </c>
      <c r="F370" s="32">
        <v>0</v>
      </c>
      <c r="G370" s="32">
        <v>-292286136</v>
      </c>
    </row>
    <row r="371" spans="1:7" s="33" customFormat="1" x14ac:dyDescent="0.2">
      <c r="A371" s="29" t="s">
        <v>663</v>
      </c>
      <c r="B371" s="30">
        <f>LEN(A371)</f>
        <v>6</v>
      </c>
      <c r="C371" s="34" t="s">
        <v>664</v>
      </c>
      <c r="D371" s="32">
        <v>0</v>
      </c>
      <c r="E371" s="32">
        <v>0</v>
      </c>
      <c r="F371" s="32">
        <v>0</v>
      </c>
      <c r="G371" s="32">
        <v>2920314061</v>
      </c>
    </row>
    <row r="372" spans="1:7" s="33" customFormat="1" x14ac:dyDescent="0.2">
      <c r="A372" s="29" t="s">
        <v>665</v>
      </c>
      <c r="B372" s="30">
        <f>LEN(A372)</f>
        <v>6</v>
      </c>
      <c r="C372" s="34" t="s">
        <v>666</v>
      </c>
      <c r="D372" s="32">
        <v>0</v>
      </c>
      <c r="E372" s="32">
        <v>0</v>
      </c>
      <c r="F372" s="32">
        <v>0</v>
      </c>
      <c r="G372" s="32">
        <v>6616</v>
      </c>
    </row>
  </sheetData>
  <autoFilter ref="A1:G372" xr:uid="{00000000-0009-0000-0000-00000D000000}"/>
  <pageMargins left="0.7" right="0.7" top="0.75" bottom="0.75" header="0.3" footer="0.3"/>
  <pageSetup paperSize="9" scale="8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9"/>
  <dimension ref="A1:D262"/>
  <sheetViews>
    <sheetView topLeftCell="A237" zoomScale="130" zoomScaleNormal="130" zoomScaleSheetLayoutView="100" workbookViewId="0">
      <selection activeCell="D262" sqref="D262"/>
    </sheetView>
  </sheetViews>
  <sheetFormatPr baseColWidth="10" defaultColWidth="11.42578125" defaultRowHeight="12" x14ac:dyDescent="0.2"/>
  <cols>
    <col min="1" max="2" width="17.42578125" style="41" customWidth="1"/>
    <col min="3" max="3" width="48.7109375" style="24" customWidth="1"/>
    <col min="4" max="4" width="19" style="24" customWidth="1"/>
    <col min="5" max="256" width="11.42578125" style="24"/>
    <col min="257" max="258" width="17.42578125" style="24" customWidth="1"/>
    <col min="259" max="259" width="48.7109375" style="24" customWidth="1"/>
    <col min="260" max="260" width="19" style="24" customWidth="1"/>
    <col min="261" max="512" width="11.42578125" style="24"/>
    <col min="513" max="514" width="17.42578125" style="24" customWidth="1"/>
    <col min="515" max="515" width="48.7109375" style="24" customWidth="1"/>
    <col min="516" max="516" width="19" style="24" customWidth="1"/>
    <col min="517" max="768" width="11.42578125" style="24"/>
    <col min="769" max="770" width="17.42578125" style="24" customWidth="1"/>
    <col min="771" max="771" width="48.7109375" style="24" customWidth="1"/>
    <col min="772" max="772" width="19" style="24" customWidth="1"/>
    <col min="773" max="1024" width="11.42578125" style="24"/>
    <col min="1025" max="1026" width="17.42578125" style="24" customWidth="1"/>
    <col min="1027" max="1027" width="48.7109375" style="24" customWidth="1"/>
    <col min="1028" max="1028" width="19" style="24" customWidth="1"/>
    <col min="1029" max="1280" width="11.42578125" style="24"/>
    <col min="1281" max="1282" width="17.42578125" style="24" customWidth="1"/>
    <col min="1283" max="1283" width="48.7109375" style="24" customWidth="1"/>
    <col min="1284" max="1284" width="19" style="24" customWidth="1"/>
    <col min="1285" max="1536" width="11.42578125" style="24"/>
    <col min="1537" max="1538" width="17.42578125" style="24" customWidth="1"/>
    <col min="1539" max="1539" width="48.7109375" style="24" customWidth="1"/>
    <col min="1540" max="1540" width="19" style="24" customWidth="1"/>
    <col min="1541" max="1792" width="11.42578125" style="24"/>
    <col min="1793" max="1794" width="17.42578125" style="24" customWidth="1"/>
    <col min="1795" max="1795" width="48.7109375" style="24" customWidth="1"/>
    <col min="1796" max="1796" width="19" style="24" customWidth="1"/>
    <col min="1797" max="2048" width="11.42578125" style="24"/>
    <col min="2049" max="2050" width="17.42578125" style="24" customWidth="1"/>
    <col min="2051" max="2051" width="48.7109375" style="24" customWidth="1"/>
    <col min="2052" max="2052" width="19" style="24" customWidth="1"/>
    <col min="2053" max="2304" width="11.42578125" style="24"/>
    <col min="2305" max="2306" width="17.42578125" style="24" customWidth="1"/>
    <col min="2307" max="2307" width="48.7109375" style="24" customWidth="1"/>
    <col min="2308" max="2308" width="19" style="24" customWidth="1"/>
    <col min="2309" max="2560" width="11.42578125" style="24"/>
    <col min="2561" max="2562" width="17.42578125" style="24" customWidth="1"/>
    <col min="2563" max="2563" width="48.7109375" style="24" customWidth="1"/>
    <col min="2564" max="2564" width="19" style="24" customWidth="1"/>
    <col min="2565" max="2816" width="11.42578125" style="24"/>
    <col min="2817" max="2818" width="17.42578125" style="24" customWidth="1"/>
    <col min="2819" max="2819" width="48.7109375" style="24" customWidth="1"/>
    <col min="2820" max="2820" width="19" style="24" customWidth="1"/>
    <col min="2821" max="3072" width="11.42578125" style="24"/>
    <col min="3073" max="3074" width="17.42578125" style="24" customWidth="1"/>
    <col min="3075" max="3075" width="48.7109375" style="24" customWidth="1"/>
    <col min="3076" max="3076" width="19" style="24" customWidth="1"/>
    <col min="3077" max="3328" width="11.42578125" style="24"/>
    <col min="3329" max="3330" width="17.42578125" style="24" customWidth="1"/>
    <col min="3331" max="3331" width="48.7109375" style="24" customWidth="1"/>
    <col min="3332" max="3332" width="19" style="24" customWidth="1"/>
    <col min="3333" max="3584" width="11.42578125" style="24"/>
    <col min="3585" max="3586" width="17.42578125" style="24" customWidth="1"/>
    <col min="3587" max="3587" width="48.7109375" style="24" customWidth="1"/>
    <col min="3588" max="3588" width="19" style="24" customWidth="1"/>
    <col min="3589" max="3840" width="11.42578125" style="24"/>
    <col min="3841" max="3842" width="17.42578125" style="24" customWidth="1"/>
    <col min="3843" max="3843" width="48.7109375" style="24" customWidth="1"/>
    <col min="3844" max="3844" width="19" style="24" customWidth="1"/>
    <col min="3845" max="4096" width="11.42578125" style="24"/>
    <col min="4097" max="4098" width="17.42578125" style="24" customWidth="1"/>
    <col min="4099" max="4099" width="48.7109375" style="24" customWidth="1"/>
    <col min="4100" max="4100" width="19" style="24" customWidth="1"/>
    <col min="4101" max="4352" width="11.42578125" style="24"/>
    <col min="4353" max="4354" width="17.42578125" style="24" customWidth="1"/>
    <col min="4355" max="4355" width="48.7109375" style="24" customWidth="1"/>
    <col min="4356" max="4356" width="19" style="24" customWidth="1"/>
    <col min="4357" max="4608" width="11.42578125" style="24"/>
    <col min="4609" max="4610" width="17.42578125" style="24" customWidth="1"/>
    <col min="4611" max="4611" width="48.7109375" style="24" customWidth="1"/>
    <col min="4612" max="4612" width="19" style="24" customWidth="1"/>
    <col min="4613" max="4864" width="11.42578125" style="24"/>
    <col min="4865" max="4866" width="17.42578125" style="24" customWidth="1"/>
    <col min="4867" max="4867" width="48.7109375" style="24" customWidth="1"/>
    <col min="4868" max="4868" width="19" style="24" customWidth="1"/>
    <col min="4869" max="5120" width="11.42578125" style="24"/>
    <col min="5121" max="5122" width="17.42578125" style="24" customWidth="1"/>
    <col min="5123" max="5123" width="48.7109375" style="24" customWidth="1"/>
    <col min="5124" max="5124" width="19" style="24" customWidth="1"/>
    <col min="5125" max="5376" width="11.42578125" style="24"/>
    <col min="5377" max="5378" width="17.42578125" style="24" customWidth="1"/>
    <col min="5379" max="5379" width="48.7109375" style="24" customWidth="1"/>
    <col min="5380" max="5380" width="19" style="24" customWidth="1"/>
    <col min="5381" max="5632" width="11.42578125" style="24"/>
    <col min="5633" max="5634" width="17.42578125" style="24" customWidth="1"/>
    <col min="5635" max="5635" width="48.7109375" style="24" customWidth="1"/>
    <col min="5636" max="5636" width="19" style="24" customWidth="1"/>
    <col min="5637" max="5888" width="11.42578125" style="24"/>
    <col min="5889" max="5890" width="17.42578125" style="24" customWidth="1"/>
    <col min="5891" max="5891" width="48.7109375" style="24" customWidth="1"/>
    <col min="5892" max="5892" width="19" style="24" customWidth="1"/>
    <col min="5893" max="6144" width="11.42578125" style="24"/>
    <col min="6145" max="6146" width="17.42578125" style="24" customWidth="1"/>
    <col min="6147" max="6147" width="48.7109375" style="24" customWidth="1"/>
    <col min="6148" max="6148" width="19" style="24" customWidth="1"/>
    <col min="6149" max="6400" width="11.42578125" style="24"/>
    <col min="6401" max="6402" width="17.42578125" style="24" customWidth="1"/>
    <col min="6403" max="6403" width="48.7109375" style="24" customWidth="1"/>
    <col min="6404" max="6404" width="19" style="24" customWidth="1"/>
    <col min="6405" max="6656" width="11.42578125" style="24"/>
    <col min="6657" max="6658" width="17.42578125" style="24" customWidth="1"/>
    <col min="6659" max="6659" width="48.7109375" style="24" customWidth="1"/>
    <col min="6660" max="6660" width="19" style="24" customWidth="1"/>
    <col min="6661" max="6912" width="11.42578125" style="24"/>
    <col min="6913" max="6914" width="17.42578125" style="24" customWidth="1"/>
    <col min="6915" max="6915" width="48.7109375" style="24" customWidth="1"/>
    <col min="6916" max="6916" width="19" style="24" customWidth="1"/>
    <col min="6917" max="7168" width="11.42578125" style="24"/>
    <col min="7169" max="7170" width="17.42578125" style="24" customWidth="1"/>
    <col min="7171" max="7171" width="48.7109375" style="24" customWidth="1"/>
    <col min="7172" max="7172" width="19" style="24" customWidth="1"/>
    <col min="7173" max="7424" width="11.42578125" style="24"/>
    <col min="7425" max="7426" width="17.42578125" style="24" customWidth="1"/>
    <col min="7427" max="7427" width="48.7109375" style="24" customWidth="1"/>
    <col min="7428" max="7428" width="19" style="24" customWidth="1"/>
    <col min="7429" max="7680" width="11.42578125" style="24"/>
    <col min="7681" max="7682" width="17.42578125" style="24" customWidth="1"/>
    <col min="7683" max="7683" width="48.7109375" style="24" customWidth="1"/>
    <col min="7684" max="7684" width="19" style="24" customWidth="1"/>
    <col min="7685" max="7936" width="11.42578125" style="24"/>
    <col min="7937" max="7938" width="17.42578125" style="24" customWidth="1"/>
    <col min="7939" max="7939" width="48.7109375" style="24" customWidth="1"/>
    <col min="7940" max="7940" width="19" style="24" customWidth="1"/>
    <col min="7941" max="8192" width="11.42578125" style="24"/>
    <col min="8193" max="8194" width="17.42578125" style="24" customWidth="1"/>
    <col min="8195" max="8195" width="48.7109375" style="24" customWidth="1"/>
    <col min="8196" max="8196" width="19" style="24" customWidth="1"/>
    <col min="8197" max="8448" width="11.42578125" style="24"/>
    <col min="8449" max="8450" width="17.42578125" style="24" customWidth="1"/>
    <col min="8451" max="8451" width="48.7109375" style="24" customWidth="1"/>
    <col min="8452" max="8452" width="19" style="24" customWidth="1"/>
    <col min="8453" max="8704" width="11.42578125" style="24"/>
    <col min="8705" max="8706" width="17.42578125" style="24" customWidth="1"/>
    <col min="8707" max="8707" width="48.7109375" style="24" customWidth="1"/>
    <col min="8708" max="8708" width="19" style="24" customWidth="1"/>
    <col min="8709" max="8960" width="11.42578125" style="24"/>
    <col min="8961" max="8962" width="17.42578125" style="24" customWidth="1"/>
    <col min="8963" max="8963" width="48.7109375" style="24" customWidth="1"/>
    <col min="8964" max="8964" width="19" style="24" customWidth="1"/>
    <col min="8965" max="9216" width="11.42578125" style="24"/>
    <col min="9217" max="9218" width="17.42578125" style="24" customWidth="1"/>
    <col min="9219" max="9219" width="48.7109375" style="24" customWidth="1"/>
    <col min="9220" max="9220" width="19" style="24" customWidth="1"/>
    <col min="9221" max="9472" width="11.42578125" style="24"/>
    <col min="9473" max="9474" width="17.42578125" style="24" customWidth="1"/>
    <col min="9475" max="9475" width="48.7109375" style="24" customWidth="1"/>
    <col min="9476" max="9476" width="19" style="24" customWidth="1"/>
    <col min="9477" max="9728" width="11.42578125" style="24"/>
    <col min="9729" max="9730" width="17.42578125" style="24" customWidth="1"/>
    <col min="9731" max="9731" width="48.7109375" style="24" customWidth="1"/>
    <col min="9732" max="9732" width="19" style="24" customWidth="1"/>
    <col min="9733" max="9984" width="11.42578125" style="24"/>
    <col min="9985" max="9986" width="17.42578125" style="24" customWidth="1"/>
    <col min="9987" max="9987" width="48.7109375" style="24" customWidth="1"/>
    <col min="9988" max="9988" width="19" style="24" customWidth="1"/>
    <col min="9989" max="10240" width="11.42578125" style="24"/>
    <col min="10241" max="10242" width="17.42578125" style="24" customWidth="1"/>
    <col min="10243" max="10243" width="48.7109375" style="24" customWidth="1"/>
    <col min="10244" max="10244" width="19" style="24" customWidth="1"/>
    <col min="10245" max="10496" width="11.42578125" style="24"/>
    <col min="10497" max="10498" width="17.42578125" style="24" customWidth="1"/>
    <col min="10499" max="10499" width="48.7109375" style="24" customWidth="1"/>
    <col min="10500" max="10500" width="19" style="24" customWidth="1"/>
    <col min="10501" max="10752" width="11.42578125" style="24"/>
    <col min="10753" max="10754" width="17.42578125" style="24" customWidth="1"/>
    <col min="10755" max="10755" width="48.7109375" style="24" customWidth="1"/>
    <col min="10756" max="10756" width="19" style="24" customWidth="1"/>
    <col min="10757" max="11008" width="11.42578125" style="24"/>
    <col min="11009" max="11010" width="17.42578125" style="24" customWidth="1"/>
    <col min="11011" max="11011" width="48.7109375" style="24" customWidth="1"/>
    <col min="11012" max="11012" width="19" style="24" customWidth="1"/>
    <col min="11013" max="11264" width="11.42578125" style="24"/>
    <col min="11265" max="11266" width="17.42578125" style="24" customWidth="1"/>
    <col min="11267" max="11267" width="48.7109375" style="24" customWidth="1"/>
    <col min="11268" max="11268" width="19" style="24" customWidth="1"/>
    <col min="11269" max="11520" width="11.42578125" style="24"/>
    <col min="11521" max="11522" width="17.42578125" style="24" customWidth="1"/>
    <col min="11523" max="11523" width="48.7109375" style="24" customWidth="1"/>
    <col min="11524" max="11524" width="19" style="24" customWidth="1"/>
    <col min="11525" max="11776" width="11.42578125" style="24"/>
    <col min="11777" max="11778" width="17.42578125" style="24" customWidth="1"/>
    <col min="11779" max="11779" width="48.7109375" style="24" customWidth="1"/>
    <col min="11780" max="11780" width="19" style="24" customWidth="1"/>
    <col min="11781" max="12032" width="11.42578125" style="24"/>
    <col min="12033" max="12034" width="17.42578125" style="24" customWidth="1"/>
    <col min="12035" max="12035" width="48.7109375" style="24" customWidth="1"/>
    <col min="12036" max="12036" width="19" style="24" customWidth="1"/>
    <col min="12037" max="12288" width="11.42578125" style="24"/>
    <col min="12289" max="12290" width="17.42578125" style="24" customWidth="1"/>
    <col min="12291" max="12291" width="48.7109375" style="24" customWidth="1"/>
    <col min="12292" max="12292" width="19" style="24" customWidth="1"/>
    <col min="12293" max="12544" width="11.42578125" style="24"/>
    <col min="12545" max="12546" width="17.42578125" style="24" customWidth="1"/>
    <col min="12547" max="12547" width="48.7109375" style="24" customWidth="1"/>
    <col min="12548" max="12548" width="19" style="24" customWidth="1"/>
    <col min="12549" max="12800" width="11.42578125" style="24"/>
    <col min="12801" max="12802" width="17.42578125" style="24" customWidth="1"/>
    <col min="12803" max="12803" width="48.7109375" style="24" customWidth="1"/>
    <col min="12804" max="12804" width="19" style="24" customWidth="1"/>
    <col min="12805" max="13056" width="11.42578125" style="24"/>
    <col min="13057" max="13058" width="17.42578125" style="24" customWidth="1"/>
    <col min="13059" max="13059" width="48.7109375" style="24" customWidth="1"/>
    <col min="13060" max="13060" width="19" style="24" customWidth="1"/>
    <col min="13061" max="13312" width="11.42578125" style="24"/>
    <col min="13313" max="13314" width="17.42578125" style="24" customWidth="1"/>
    <col min="13315" max="13315" width="48.7109375" style="24" customWidth="1"/>
    <col min="13316" max="13316" width="19" style="24" customWidth="1"/>
    <col min="13317" max="13568" width="11.42578125" style="24"/>
    <col min="13569" max="13570" width="17.42578125" style="24" customWidth="1"/>
    <col min="13571" max="13571" width="48.7109375" style="24" customWidth="1"/>
    <col min="13572" max="13572" width="19" style="24" customWidth="1"/>
    <col min="13573" max="13824" width="11.42578125" style="24"/>
    <col min="13825" max="13826" width="17.42578125" style="24" customWidth="1"/>
    <col min="13827" max="13827" width="48.7109375" style="24" customWidth="1"/>
    <col min="13828" max="13828" width="19" style="24" customWidth="1"/>
    <col min="13829" max="14080" width="11.42578125" style="24"/>
    <col min="14081" max="14082" width="17.42578125" style="24" customWidth="1"/>
    <col min="14083" max="14083" width="48.7109375" style="24" customWidth="1"/>
    <col min="14084" max="14084" width="19" style="24" customWidth="1"/>
    <col min="14085" max="14336" width="11.42578125" style="24"/>
    <col min="14337" max="14338" width="17.42578125" style="24" customWidth="1"/>
    <col min="14339" max="14339" width="48.7109375" style="24" customWidth="1"/>
    <col min="14340" max="14340" width="19" style="24" customWidth="1"/>
    <col min="14341" max="14592" width="11.42578125" style="24"/>
    <col min="14593" max="14594" width="17.42578125" style="24" customWidth="1"/>
    <col min="14595" max="14595" width="48.7109375" style="24" customWidth="1"/>
    <col min="14596" max="14596" width="19" style="24" customWidth="1"/>
    <col min="14597" max="14848" width="11.42578125" style="24"/>
    <col min="14849" max="14850" width="17.42578125" style="24" customWidth="1"/>
    <col min="14851" max="14851" width="48.7109375" style="24" customWidth="1"/>
    <col min="14852" max="14852" width="19" style="24" customWidth="1"/>
    <col min="14853" max="15104" width="11.42578125" style="24"/>
    <col min="15105" max="15106" width="17.42578125" style="24" customWidth="1"/>
    <col min="15107" max="15107" width="48.7109375" style="24" customWidth="1"/>
    <col min="15108" max="15108" width="19" style="24" customWidth="1"/>
    <col min="15109" max="15360" width="11.42578125" style="24"/>
    <col min="15361" max="15362" width="17.42578125" style="24" customWidth="1"/>
    <col min="15363" max="15363" width="48.7109375" style="24" customWidth="1"/>
    <col min="15364" max="15364" width="19" style="24" customWidth="1"/>
    <col min="15365" max="15616" width="11.42578125" style="24"/>
    <col min="15617" max="15618" width="17.42578125" style="24" customWidth="1"/>
    <col min="15619" max="15619" width="48.7109375" style="24" customWidth="1"/>
    <col min="15620" max="15620" width="19" style="24" customWidth="1"/>
    <col min="15621" max="15872" width="11.42578125" style="24"/>
    <col min="15873" max="15874" width="17.42578125" style="24" customWidth="1"/>
    <col min="15875" max="15875" width="48.7109375" style="24" customWidth="1"/>
    <col min="15876" max="15876" width="19" style="24" customWidth="1"/>
    <col min="15877" max="16128" width="11.42578125" style="24"/>
    <col min="16129" max="16130" width="17.42578125" style="24" customWidth="1"/>
    <col min="16131" max="16131" width="48.7109375" style="24" customWidth="1"/>
    <col min="16132" max="16132" width="19" style="24" customWidth="1"/>
    <col min="16133" max="16384" width="11.42578125" style="24"/>
  </cols>
  <sheetData>
    <row r="1" spans="1:4" x14ac:dyDescent="0.2">
      <c r="A1" s="42" t="s">
        <v>25</v>
      </c>
      <c r="B1" s="42" t="s">
        <v>26</v>
      </c>
      <c r="C1" s="42" t="s">
        <v>27</v>
      </c>
      <c r="D1" s="43" t="s">
        <v>28</v>
      </c>
    </row>
    <row r="2" spans="1:4" x14ac:dyDescent="0.2">
      <c r="A2" s="41" t="s">
        <v>32</v>
      </c>
      <c r="B2" s="41">
        <v>1</v>
      </c>
      <c r="C2" s="41" t="s">
        <v>667</v>
      </c>
    </row>
    <row r="3" spans="1:4" x14ac:dyDescent="0.2">
      <c r="A3" s="41" t="s">
        <v>174</v>
      </c>
      <c r="B3" s="41">
        <v>1</v>
      </c>
      <c r="C3" s="41" t="s">
        <v>175</v>
      </c>
    </row>
    <row r="4" spans="1:4" x14ac:dyDescent="0.2">
      <c r="A4" s="41" t="s">
        <v>352</v>
      </c>
      <c r="B4" s="41">
        <v>1</v>
      </c>
      <c r="C4" s="41" t="s">
        <v>353</v>
      </c>
    </row>
    <row r="5" spans="1:4" x14ac:dyDescent="0.2">
      <c r="A5" s="41" t="s">
        <v>373</v>
      </c>
      <c r="B5" s="41">
        <v>1</v>
      </c>
      <c r="C5" s="41" t="s">
        <v>668</v>
      </c>
    </row>
    <row r="6" spans="1:4" x14ac:dyDescent="0.2">
      <c r="A6" s="41" t="s">
        <v>425</v>
      </c>
      <c r="B6" s="41">
        <v>1</v>
      </c>
      <c r="C6" s="41" t="s">
        <v>669</v>
      </c>
    </row>
    <row r="7" spans="1:4" x14ac:dyDescent="0.2">
      <c r="A7" s="41" t="s">
        <v>646</v>
      </c>
      <c r="B7" s="41">
        <v>1</v>
      </c>
      <c r="C7" s="41" t="s">
        <v>647</v>
      </c>
    </row>
    <row r="8" spans="1:4" x14ac:dyDescent="0.2">
      <c r="A8" s="41" t="s">
        <v>34</v>
      </c>
      <c r="B8" s="41">
        <v>2</v>
      </c>
      <c r="C8" s="24" t="s">
        <v>35</v>
      </c>
      <c r="D8" s="28">
        <v>6762481831</v>
      </c>
    </row>
    <row r="9" spans="1:4" x14ac:dyDescent="0.2">
      <c r="A9" s="41" t="s">
        <v>46</v>
      </c>
      <c r="B9" s="41">
        <v>2</v>
      </c>
      <c r="C9" s="24" t="s">
        <v>47</v>
      </c>
      <c r="D9" s="28">
        <v>3700000000</v>
      </c>
    </row>
    <row r="10" spans="1:4" x14ac:dyDescent="0.2">
      <c r="A10" s="41" t="s">
        <v>86</v>
      </c>
      <c r="B10" s="41">
        <v>2</v>
      </c>
      <c r="C10" s="24" t="s">
        <v>87</v>
      </c>
      <c r="D10" s="28">
        <v>157675054354</v>
      </c>
    </row>
    <row r="11" spans="1:4" x14ac:dyDescent="0.2">
      <c r="A11" s="41" t="s">
        <v>126</v>
      </c>
      <c r="B11" s="41">
        <v>2</v>
      </c>
      <c r="C11" s="24" t="s">
        <v>127</v>
      </c>
      <c r="D11" s="28">
        <v>186657194</v>
      </c>
    </row>
    <row r="12" spans="1:4" x14ac:dyDescent="0.2">
      <c r="A12" s="41" t="s">
        <v>149</v>
      </c>
      <c r="B12" s="41">
        <v>2</v>
      </c>
      <c r="C12" s="24" t="s">
        <v>150</v>
      </c>
      <c r="D12" s="28">
        <v>21723586062</v>
      </c>
    </row>
    <row r="13" spans="1:4" x14ac:dyDescent="0.2">
      <c r="A13" s="41" t="s">
        <v>176</v>
      </c>
      <c r="B13" s="41">
        <v>2</v>
      </c>
      <c r="C13" s="24" t="s">
        <v>177</v>
      </c>
      <c r="D13" s="28">
        <v>-23586277715</v>
      </c>
    </row>
    <row r="14" spans="1:4" x14ac:dyDescent="0.2">
      <c r="A14" s="41" t="s">
        <v>182</v>
      </c>
      <c r="B14" s="41">
        <v>2</v>
      </c>
      <c r="C14" s="24" t="s">
        <v>183</v>
      </c>
      <c r="D14" s="28">
        <v>-11106145316</v>
      </c>
    </row>
    <row r="15" spans="1:4" x14ac:dyDescent="0.2">
      <c r="A15" s="41" t="s">
        <v>285</v>
      </c>
      <c r="B15" s="41">
        <v>2</v>
      </c>
      <c r="C15" s="24" t="s">
        <v>286</v>
      </c>
      <c r="D15" s="28">
        <v>-231656749759</v>
      </c>
    </row>
    <row r="16" spans="1:4" x14ac:dyDescent="0.2">
      <c r="A16" s="41" t="s">
        <v>325</v>
      </c>
      <c r="B16" s="41">
        <v>2</v>
      </c>
      <c r="C16" s="24" t="s">
        <v>326</v>
      </c>
      <c r="D16" s="28">
        <v>-93197023866</v>
      </c>
    </row>
    <row r="17" spans="1:4" x14ac:dyDescent="0.2">
      <c r="A17" s="41" t="s">
        <v>348</v>
      </c>
      <c r="B17" s="41">
        <v>2</v>
      </c>
      <c r="C17" s="24" t="s">
        <v>349</v>
      </c>
      <c r="D17" s="28">
        <v>0</v>
      </c>
    </row>
    <row r="18" spans="1:4" x14ac:dyDescent="0.2">
      <c r="A18" s="41" t="s">
        <v>354</v>
      </c>
      <c r="B18" s="41">
        <v>2</v>
      </c>
      <c r="C18" s="24" t="s">
        <v>355</v>
      </c>
      <c r="D18" s="28">
        <v>60168232589</v>
      </c>
    </row>
    <row r="19" spans="1:4" x14ac:dyDescent="0.2">
      <c r="A19" s="41" t="s">
        <v>375</v>
      </c>
      <c r="B19" s="41">
        <v>2</v>
      </c>
      <c r="C19" s="24" t="s">
        <v>376</v>
      </c>
      <c r="D19" s="28">
        <v>-1190425478954</v>
      </c>
    </row>
    <row r="20" spans="1:4" x14ac:dyDescent="0.2">
      <c r="A20" s="41" t="s">
        <v>391</v>
      </c>
      <c r="B20" s="41">
        <v>2</v>
      </c>
      <c r="C20" s="24" t="s">
        <v>392</v>
      </c>
      <c r="D20" s="28">
        <v>-36232032769</v>
      </c>
    </row>
    <row r="21" spans="1:4" x14ac:dyDescent="0.2">
      <c r="A21" s="41" t="s">
        <v>427</v>
      </c>
      <c r="B21" s="41">
        <v>2</v>
      </c>
      <c r="C21" s="24" t="s">
        <v>428</v>
      </c>
      <c r="D21" s="28">
        <v>55116842808</v>
      </c>
    </row>
    <row r="22" spans="1:4" x14ac:dyDescent="0.2">
      <c r="A22" s="41" t="s">
        <v>547</v>
      </c>
      <c r="B22" s="41">
        <v>2</v>
      </c>
      <c r="C22" s="24" t="s">
        <v>548</v>
      </c>
      <c r="D22" s="28">
        <v>10413317182</v>
      </c>
    </row>
    <row r="23" spans="1:4" x14ac:dyDescent="0.2">
      <c r="A23" s="41" t="s">
        <v>607</v>
      </c>
      <c r="B23" s="41">
        <v>2</v>
      </c>
      <c r="C23" s="24" t="s">
        <v>608</v>
      </c>
      <c r="D23" s="28">
        <v>11797174922</v>
      </c>
    </row>
    <row r="24" spans="1:4" x14ac:dyDescent="0.2">
      <c r="A24" s="41" t="s">
        <v>36</v>
      </c>
      <c r="B24" s="41">
        <v>4</v>
      </c>
      <c r="C24" s="24" t="s">
        <v>37</v>
      </c>
      <c r="D24" s="27">
        <v>0</v>
      </c>
    </row>
    <row r="25" spans="1:4" x14ac:dyDescent="0.2">
      <c r="A25" s="41" t="s">
        <v>40</v>
      </c>
      <c r="B25" s="41">
        <v>4</v>
      </c>
      <c r="C25" s="24" t="s">
        <v>41</v>
      </c>
      <c r="D25" s="28">
        <v>6762481831</v>
      </c>
    </row>
    <row r="26" spans="1:4" x14ac:dyDescent="0.2">
      <c r="A26" s="41" t="s">
        <v>48</v>
      </c>
      <c r="B26" s="41">
        <v>4</v>
      </c>
      <c r="C26" s="44" t="s">
        <v>49</v>
      </c>
    </row>
    <row r="27" spans="1:4" x14ac:dyDescent="0.2">
      <c r="A27" s="41" t="s">
        <v>52</v>
      </c>
      <c r="B27" s="41">
        <v>4</v>
      </c>
      <c r="C27" s="24" t="s">
        <v>53</v>
      </c>
      <c r="D27" s="28">
        <v>3700000000</v>
      </c>
    </row>
    <row r="28" spans="1:4" x14ac:dyDescent="0.2">
      <c r="A28" s="41" t="s">
        <v>88</v>
      </c>
      <c r="B28" s="41">
        <v>4</v>
      </c>
      <c r="C28" s="24" t="s">
        <v>61</v>
      </c>
      <c r="D28" s="28">
        <v>123588091534</v>
      </c>
    </row>
    <row r="29" spans="1:4" x14ac:dyDescent="0.2">
      <c r="A29" s="41" t="s">
        <v>99</v>
      </c>
      <c r="B29" s="41">
        <v>4</v>
      </c>
      <c r="C29" s="24" t="s">
        <v>100</v>
      </c>
      <c r="D29" s="28">
        <v>44870773537</v>
      </c>
    </row>
    <row r="30" spans="1:4" x14ac:dyDescent="0.2">
      <c r="A30" s="41" t="s">
        <v>105</v>
      </c>
      <c r="B30" s="41">
        <v>4</v>
      </c>
      <c r="C30" s="24" t="s">
        <v>106</v>
      </c>
      <c r="D30" s="28">
        <v>81125258</v>
      </c>
    </row>
    <row r="31" spans="1:4" x14ac:dyDescent="0.2">
      <c r="A31" s="41" t="s">
        <v>109</v>
      </c>
      <c r="B31" s="41">
        <v>4</v>
      </c>
      <c r="C31" s="24" t="s">
        <v>110</v>
      </c>
    </row>
    <row r="32" spans="1:4" x14ac:dyDescent="0.2">
      <c r="A32" s="41" t="s">
        <v>115</v>
      </c>
      <c r="B32" s="41">
        <v>4</v>
      </c>
      <c r="C32" s="24" t="s">
        <v>116</v>
      </c>
      <c r="D32" s="28">
        <v>252753665</v>
      </c>
    </row>
    <row r="33" spans="1:4" x14ac:dyDescent="0.2">
      <c r="A33" s="41" t="s">
        <v>120</v>
      </c>
      <c r="B33" s="41">
        <v>4</v>
      </c>
      <c r="C33" s="24" t="s">
        <v>121</v>
      </c>
      <c r="D33" s="28">
        <v>498519138</v>
      </c>
    </row>
    <row r="34" spans="1:4" x14ac:dyDescent="0.2">
      <c r="A34" s="41" t="s">
        <v>123</v>
      </c>
      <c r="B34" s="41">
        <v>4</v>
      </c>
      <c r="C34" s="24" t="s">
        <v>124</v>
      </c>
      <c r="D34" s="28">
        <v>-11616208778</v>
      </c>
    </row>
    <row r="35" spans="1:4" x14ac:dyDescent="0.2">
      <c r="A35" s="41" t="s">
        <v>128</v>
      </c>
      <c r="B35" s="41">
        <v>4</v>
      </c>
      <c r="C35" s="24" t="s">
        <v>129</v>
      </c>
      <c r="D35" s="28">
        <v>241173910</v>
      </c>
    </row>
    <row r="36" spans="1:4" x14ac:dyDescent="0.2">
      <c r="A36" s="41" t="s">
        <v>134</v>
      </c>
      <c r="B36" s="41">
        <v>4</v>
      </c>
      <c r="C36" s="24" t="s">
        <v>135</v>
      </c>
      <c r="D36" s="28">
        <v>124146110</v>
      </c>
    </row>
    <row r="37" spans="1:4" x14ac:dyDescent="0.2">
      <c r="A37" s="41" t="s">
        <v>140</v>
      </c>
      <c r="B37" s="41">
        <v>4</v>
      </c>
      <c r="C37" s="24" t="s">
        <v>141</v>
      </c>
      <c r="D37" s="28">
        <v>8925239</v>
      </c>
    </row>
    <row r="38" spans="1:4" x14ac:dyDescent="0.2">
      <c r="A38" s="41" t="s">
        <v>144</v>
      </c>
      <c r="B38" s="41">
        <v>4</v>
      </c>
      <c r="C38" s="24" t="s">
        <v>145</v>
      </c>
      <c r="D38" s="28">
        <v>-187588065</v>
      </c>
    </row>
    <row r="39" spans="1:4" x14ac:dyDescent="0.2">
      <c r="A39" s="41" t="s">
        <v>151</v>
      </c>
      <c r="B39" s="41">
        <v>4</v>
      </c>
      <c r="C39" s="24" t="s">
        <v>152</v>
      </c>
      <c r="D39" s="28">
        <v>22240533</v>
      </c>
    </row>
    <row r="40" spans="1:4" x14ac:dyDescent="0.2">
      <c r="A40" s="41" t="s">
        <v>164</v>
      </c>
      <c r="B40" s="41">
        <v>4</v>
      </c>
      <c r="C40" s="24" t="s">
        <v>165</v>
      </c>
      <c r="D40" s="28">
        <v>367242956</v>
      </c>
    </row>
    <row r="41" spans="1:4" x14ac:dyDescent="0.2">
      <c r="A41" s="41" t="s">
        <v>168</v>
      </c>
      <c r="B41" s="41">
        <v>4</v>
      </c>
      <c r="C41" s="24" t="s">
        <v>169</v>
      </c>
      <c r="D41" s="28">
        <v>22002569028</v>
      </c>
    </row>
    <row r="42" spans="1:4" x14ac:dyDescent="0.2">
      <c r="A42" s="41" t="s">
        <v>172</v>
      </c>
      <c r="B42" s="41">
        <v>4</v>
      </c>
      <c r="C42" s="24" t="s">
        <v>173</v>
      </c>
      <c r="D42" s="28">
        <v>-668466455</v>
      </c>
    </row>
    <row r="43" spans="1:4" x14ac:dyDescent="0.2">
      <c r="A43" s="41" t="s">
        <v>184</v>
      </c>
      <c r="B43" s="41">
        <v>4</v>
      </c>
      <c r="C43" s="24" t="s">
        <v>185</v>
      </c>
      <c r="D43" s="28">
        <v>-852548282</v>
      </c>
    </row>
    <row r="44" spans="1:4" x14ac:dyDescent="0.2">
      <c r="A44" s="41" t="s">
        <v>204</v>
      </c>
      <c r="B44" s="41">
        <v>4</v>
      </c>
      <c r="C44" s="24" t="s">
        <v>205</v>
      </c>
      <c r="D44" s="28">
        <v>-8569125292</v>
      </c>
    </row>
    <row r="45" spans="1:4" x14ac:dyDescent="0.2">
      <c r="A45" s="41" t="s">
        <v>228</v>
      </c>
      <c r="B45" s="41">
        <v>4</v>
      </c>
      <c r="C45" s="24" t="s">
        <v>229</v>
      </c>
      <c r="D45" s="28">
        <v>-1244790584</v>
      </c>
    </row>
    <row r="46" spans="1:4" x14ac:dyDescent="0.2">
      <c r="A46" s="41" t="s">
        <v>670</v>
      </c>
      <c r="B46" s="41">
        <v>4</v>
      </c>
      <c r="C46" s="24" t="s">
        <v>671</v>
      </c>
      <c r="D46" s="28">
        <v>0</v>
      </c>
    </row>
    <row r="47" spans="1:4" x14ac:dyDescent="0.2">
      <c r="A47" s="41" t="s">
        <v>243</v>
      </c>
      <c r="B47" s="41">
        <v>4</v>
      </c>
      <c r="C47" s="24" t="s">
        <v>244</v>
      </c>
      <c r="D47" s="28">
        <v>-178025591</v>
      </c>
    </row>
    <row r="48" spans="1:4" x14ac:dyDescent="0.2">
      <c r="A48" s="41" t="s">
        <v>247</v>
      </c>
      <c r="B48" s="41">
        <v>4</v>
      </c>
      <c r="C48" s="24" t="s">
        <v>248</v>
      </c>
      <c r="D48" s="28">
        <v>-261655567</v>
      </c>
    </row>
    <row r="49" spans="1:4" x14ac:dyDescent="0.2">
      <c r="A49" s="41" t="s">
        <v>287</v>
      </c>
      <c r="B49" s="41">
        <v>4</v>
      </c>
      <c r="C49" s="24" t="s">
        <v>288</v>
      </c>
      <c r="D49" s="28">
        <v>-319190782</v>
      </c>
    </row>
    <row r="50" spans="1:4" x14ac:dyDescent="0.2">
      <c r="A50" s="41" t="s">
        <v>317</v>
      </c>
      <c r="B50" s="41">
        <v>4</v>
      </c>
      <c r="C50" s="24" t="s">
        <v>256</v>
      </c>
      <c r="D50" s="28">
        <v>-231337558977</v>
      </c>
    </row>
    <row r="51" spans="1:4" x14ac:dyDescent="0.2">
      <c r="A51" s="41" t="s">
        <v>331</v>
      </c>
      <c r="B51" s="41">
        <v>4</v>
      </c>
      <c r="C51" s="24" t="s">
        <v>332</v>
      </c>
      <c r="D51" s="28">
        <v>-92218173073</v>
      </c>
    </row>
    <row r="52" spans="1:4" x14ac:dyDescent="0.2">
      <c r="A52" s="41" t="s">
        <v>672</v>
      </c>
      <c r="B52" s="41">
        <v>4</v>
      </c>
      <c r="C52" s="24" t="s">
        <v>673</v>
      </c>
      <c r="D52" s="28">
        <v>0</v>
      </c>
    </row>
    <row r="53" spans="1:4" x14ac:dyDescent="0.2">
      <c r="A53" s="41" t="s">
        <v>337</v>
      </c>
      <c r="B53" s="41">
        <v>4</v>
      </c>
      <c r="C53" s="24" t="s">
        <v>338</v>
      </c>
      <c r="D53" s="28">
        <v>-978850793</v>
      </c>
    </row>
    <row r="54" spans="1:4" x14ac:dyDescent="0.2">
      <c r="A54" s="41" t="s">
        <v>674</v>
      </c>
      <c r="B54" s="41">
        <v>4</v>
      </c>
      <c r="C54" s="24" t="s">
        <v>675</v>
      </c>
      <c r="D54" s="28">
        <v>0</v>
      </c>
    </row>
    <row r="55" spans="1:4" x14ac:dyDescent="0.2">
      <c r="A55" s="41" t="s">
        <v>356</v>
      </c>
      <c r="B55" s="41">
        <v>4</v>
      </c>
      <c r="C55" s="24" t="s">
        <v>357</v>
      </c>
      <c r="D55" s="28">
        <v>-81852000000</v>
      </c>
    </row>
    <row r="56" spans="1:4" x14ac:dyDescent="0.2">
      <c r="A56" s="41" t="s">
        <v>362</v>
      </c>
      <c r="B56" s="41">
        <v>4</v>
      </c>
      <c r="C56" s="24" t="s">
        <v>363</v>
      </c>
      <c r="D56" s="28">
        <v>142020232589</v>
      </c>
    </row>
    <row r="57" spans="1:4" x14ac:dyDescent="0.2">
      <c r="A57" s="41" t="s">
        <v>377</v>
      </c>
      <c r="B57" s="41">
        <v>4</v>
      </c>
      <c r="C57" s="24" t="s">
        <v>378</v>
      </c>
      <c r="D57" s="28">
        <v>-1190425478954</v>
      </c>
    </row>
    <row r="58" spans="1:4" x14ac:dyDescent="0.2">
      <c r="A58" s="41" t="s">
        <v>403</v>
      </c>
      <c r="B58" s="41">
        <v>4</v>
      </c>
      <c r="C58" s="24" t="s">
        <v>394</v>
      </c>
      <c r="D58" s="28">
        <v>-3518851459</v>
      </c>
    </row>
    <row r="59" spans="1:4" x14ac:dyDescent="0.2">
      <c r="A59" s="41" t="s">
        <v>407</v>
      </c>
      <c r="B59" s="41">
        <v>4</v>
      </c>
      <c r="C59" s="24" t="s">
        <v>408</v>
      </c>
    </row>
    <row r="60" spans="1:4" x14ac:dyDescent="0.2">
      <c r="A60" s="41" t="s">
        <v>417</v>
      </c>
      <c r="B60" s="41">
        <v>4</v>
      </c>
      <c r="C60" s="24" t="s">
        <v>418</v>
      </c>
      <c r="D60" s="28">
        <v>-657468</v>
      </c>
    </row>
    <row r="61" spans="1:4" x14ac:dyDescent="0.2">
      <c r="A61" s="41" t="s">
        <v>421</v>
      </c>
      <c r="B61" s="41">
        <v>4</v>
      </c>
      <c r="C61" s="24" t="s">
        <v>422</v>
      </c>
      <c r="D61" s="28">
        <v>-32712523842</v>
      </c>
    </row>
    <row r="62" spans="1:4" x14ac:dyDescent="0.2">
      <c r="A62" s="41" t="s">
        <v>429</v>
      </c>
      <c r="B62" s="41">
        <v>4</v>
      </c>
      <c r="C62" s="24" t="s">
        <v>430</v>
      </c>
      <c r="D62" s="28">
        <v>7361645490</v>
      </c>
    </row>
    <row r="63" spans="1:4" x14ac:dyDescent="0.2">
      <c r="A63" s="41" t="s">
        <v>456</v>
      </c>
      <c r="B63" s="41">
        <v>4</v>
      </c>
      <c r="C63" s="24" t="s">
        <v>457</v>
      </c>
      <c r="D63" s="28">
        <v>17224863</v>
      </c>
    </row>
    <row r="64" spans="1:4" x14ac:dyDescent="0.2">
      <c r="A64" s="41" t="s">
        <v>461</v>
      </c>
      <c r="B64" s="41">
        <v>4</v>
      </c>
      <c r="C64" s="24" t="s">
        <v>462</v>
      </c>
      <c r="D64" s="28">
        <v>700237364</v>
      </c>
    </row>
    <row r="65" spans="1:4" x14ac:dyDescent="0.2">
      <c r="A65" s="41" t="s">
        <v>472</v>
      </c>
      <c r="B65" s="41">
        <v>4</v>
      </c>
      <c r="C65" s="24" t="s">
        <v>473</v>
      </c>
      <c r="D65" s="28">
        <v>138768750</v>
      </c>
    </row>
    <row r="66" spans="1:4" x14ac:dyDescent="0.2">
      <c r="A66" s="41" t="s">
        <v>494</v>
      </c>
      <c r="B66" s="41">
        <v>4</v>
      </c>
      <c r="C66" s="24" t="s">
        <v>495</v>
      </c>
      <c r="D66" s="28">
        <v>46514535526</v>
      </c>
    </row>
    <row r="67" spans="1:4" x14ac:dyDescent="0.2">
      <c r="A67" s="41" t="s">
        <v>537</v>
      </c>
      <c r="B67" s="41">
        <v>4</v>
      </c>
      <c r="C67" s="24" t="s">
        <v>538</v>
      </c>
      <c r="D67" s="28">
        <v>384430815</v>
      </c>
    </row>
    <row r="68" spans="1:4" x14ac:dyDescent="0.2">
      <c r="A68" s="41" t="s">
        <v>549</v>
      </c>
      <c r="B68" s="41">
        <v>4</v>
      </c>
      <c r="C68" s="24" t="s">
        <v>550</v>
      </c>
      <c r="D68" s="28">
        <v>9139558610</v>
      </c>
    </row>
    <row r="69" spans="1:4" x14ac:dyDescent="0.2">
      <c r="A69" s="41" t="s">
        <v>552</v>
      </c>
      <c r="B69" s="41">
        <v>4</v>
      </c>
      <c r="C69" s="24" t="s">
        <v>553</v>
      </c>
      <c r="D69" s="28">
        <v>0</v>
      </c>
    </row>
    <row r="70" spans="1:4" x14ac:dyDescent="0.2">
      <c r="A70" s="41" t="s">
        <v>556</v>
      </c>
      <c r="B70" s="41">
        <v>4</v>
      </c>
      <c r="C70" s="24" t="s">
        <v>557</v>
      </c>
      <c r="D70" s="28">
        <v>964239818</v>
      </c>
    </row>
    <row r="71" spans="1:4" x14ac:dyDescent="0.2">
      <c r="A71" s="41" t="s">
        <v>559</v>
      </c>
      <c r="B71" s="41">
        <v>4</v>
      </c>
      <c r="C71" s="24" t="s">
        <v>560</v>
      </c>
      <c r="D71" s="28">
        <v>66661429</v>
      </c>
    </row>
    <row r="72" spans="1:4" x14ac:dyDescent="0.2">
      <c r="A72" s="41" t="s">
        <v>565</v>
      </c>
      <c r="B72" s="41">
        <v>4</v>
      </c>
      <c r="C72" s="24" t="s">
        <v>566</v>
      </c>
      <c r="D72" s="28">
        <v>242857325</v>
      </c>
    </row>
    <row r="73" spans="1:4" x14ac:dyDescent="0.2">
      <c r="A73" s="41" t="s">
        <v>609</v>
      </c>
      <c r="B73" s="41">
        <v>4</v>
      </c>
      <c r="C73" s="24" t="s">
        <v>610</v>
      </c>
      <c r="D73" s="28">
        <v>2976449929</v>
      </c>
    </row>
    <row r="74" spans="1:4" x14ac:dyDescent="0.2">
      <c r="A74" s="41" t="s">
        <v>613</v>
      </c>
      <c r="B74" s="41">
        <v>4</v>
      </c>
      <c r="C74" s="24" t="s">
        <v>232</v>
      </c>
      <c r="D74" s="28">
        <v>34011218</v>
      </c>
    </row>
    <row r="75" spans="1:4" x14ac:dyDescent="0.2">
      <c r="A75" s="41" t="s">
        <v>676</v>
      </c>
      <c r="B75" s="41">
        <v>4</v>
      </c>
      <c r="C75" s="24" t="s">
        <v>677</v>
      </c>
    </row>
    <row r="76" spans="1:4" x14ac:dyDescent="0.2">
      <c r="A76" s="41" t="s">
        <v>624</v>
      </c>
      <c r="B76" s="41">
        <v>4</v>
      </c>
      <c r="C76" s="24" t="s">
        <v>625</v>
      </c>
      <c r="D76" s="28">
        <v>1362436</v>
      </c>
    </row>
    <row r="77" spans="1:4" x14ac:dyDescent="0.2">
      <c r="A77" s="41" t="s">
        <v>632</v>
      </c>
      <c r="B77" s="41">
        <v>4</v>
      </c>
      <c r="C77" s="24" t="s">
        <v>418</v>
      </c>
      <c r="D77" s="28">
        <v>60000</v>
      </c>
    </row>
    <row r="78" spans="1:4" x14ac:dyDescent="0.2">
      <c r="A78" s="41" t="s">
        <v>635</v>
      </c>
      <c r="B78" s="41">
        <v>4</v>
      </c>
      <c r="C78" s="24" t="s">
        <v>422</v>
      </c>
      <c r="D78" s="28">
        <v>8785291339</v>
      </c>
    </row>
    <row r="79" spans="1:4" x14ac:dyDescent="0.2">
      <c r="A79" s="41" t="s">
        <v>648</v>
      </c>
      <c r="B79" s="41">
        <v>4</v>
      </c>
      <c r="C79" s="24" t="s">
        <v>588</v>
      </c>
      <c r="D79" s="28">
        <v>1258660361437</v>
      </c>
    </row>
    <row r="80" spans="1:4" x14ac:dyDescent="0.2">
      <c r="A80" s="41" t="s">
        <v>38</v>
      </c>
      <c r="B80" s="41">
        <v>6</v>
      </c>
      <c r="C80" s="24" t="s">
        <v>678</v>
      </c>
      <c r="D80" s="27">
        <v>0</v>
      </c>
    </row>
    <row r="81" spans="1:4" x14ac:dyDescent="0.2">
      <c r="A81" s="41" t="s">
        <v>42</v>
      </c>
      <c r="B81" s="41">
        <v>6</v>
      </c>
      <c r="C81" s="44" t="s">
        <v>679</v>
      </c>
      <c r="D81" s="28">
        <v>677045769</v>
      </c>
    </row>
    <row r="82" spans="1:4" x14ac:dyDescent="0.2">
      <c r="A82" s="41" t="s">
        <v>680</v>
      </c>
      <c r="B82" s="41">
        <v>6</v>
      </c>
      <c r="C82" s="44" t="s">
        <v>679</v>
      </c>
      <c r="D82" s="28">
        <v>0</v>
      </c>
    </row>
    <row r="83" spans="1:4" x14ac:dyDescent="0.2">
      <c r="A83" s="41" t="s">
        <v>44</v>
      </c>
      <c r="B83" s="41">
        <v>6</v>
      </c>
      <c r="C83" s="44" t="s">
        <v>681</v>
      </c>
      <c r="D83" s="28">
        <v>6085436062</v>
      </c>
    </row>
    <row r="84" spans="1:4" x14ac:dyDescent="0.2">
      <c r="A84" s="41" t="s">
        <v>50</v>
      </c>
      <c r="B84" s="41">
        <v>6</v>
      </c>
      <c r="C84" s="44" t="s">
        <v>682</v>
      </c>
    </row>
    <row r="85" spans="1:4" x14ac:dyDescent="0.2">
      <c r="A85" s="41" t="s">
        <v>54</v>
      </c>
      <c r="B85" s="41">
        <v>6</v>
      </c>
      <c r="C85" s="44" t="s">
        <v>683</v>
      </c>
      <c r="D85" s="28">
        <v>3700000000</v>
      </c>
    </row>
    <row r="86" spans="1:4" x14ac:dyDescent="0.2">
      <c r="A86" s="41" t="s">
        <v>684</v>
      </c>
      <c r="B86" s="41">
        <v>6</v>
      </c>
      <c r="C86" s="44" t="s">
        <v>685</v>
      </c>
      <c r="D86" s="28">
        <v>0</v>
      </c>
    </row>
    <row r="87" spans="1:4" x14ac:dyDescent="0.2">
      <c r="A87" s="41" t="s">
        <v>89</v>
      </c>
      <c r="B87" s="41">
        <v>6</v>
      </c>
      <c r="C87" s="44" t="s">
        <v>686</v>
      </c>
      <c r="D87" s="28">
        <v>498210266</v>
      </c>
    </row>
    <row r="88" spans="1:4" x14ac:dyDescent="0.2">
      <c r="A88" s="41" t="s">
        <v>687</v>
      </c>
      <c r="B88" s="41">
        <v>6</v>
      </c>
      <c r="C88" s="24" t="s">
        <v>688</v>
      </c>
    </row>
    <row r="89" spans="1:4" x14ac:dyDescent="0.2">
      <c r="A89" s="41" t="s">
        <v>91</v>
      </c>
      <c r="B89" s="41">
        <v>6</v>
      </c>
      <c r="C89" s="44" t="s">
        <v>689</v>
      </c>
      <c r="D89" s="28">
        <v>6537408745</v>
      </c>
    </row>
    <row r="90" spans="1:4" x14ac:dyDescent="0.2">
      <c r="A90" s="41" t="s">
        <v>92</v>
      </c>
      <c r="B90" s="41">
        <v>6</v>
      </c>
      <c r="C90" s="44" t="s">
        <v>690</v>
      </c>
      <c r="D90" s="28">
        <v>469567433</v>
      </c>
    </row>
    <row r="91" spans="1:4" x14ac:dyDescent="0.2">
      <c r="A91" s="41" t="s">
        <v>94</v>
      </c>
      <c r="B91" s="41">
        <v>6</v>
      </c>
      <c r="C91" s="24" t="s">
        <v>691</v>
      </c>
      <c r="D91" s="28">
        <v>3888556016</v>
      </c>
    </row>
    <row r="92" spans="1:4" x14ac:dyDescent="0.2">
      <c r="A92" s="41" t="s">
        <v>96</v>
      </c>
      <c r="B92" s="41">
        <v>6</v>
      </c>
      <c r="C92" s="24" t="s">
        <v>692</v>
      </c>
      <c r="D92" s="28">
        <v>16218891608</v>
      </c>
    </row>
    <row r="93" spans="1:4" x14ac:dyDescent="0.2">
      <c r="A93" s="41" t="s">
        <v>97</v>
      </c>
      <c r="B93" s="41">
        <v>6</v>
      </c>
      <c r="C93" s="24" t="s">
        <v>693</v>
      </c>
      <c r="D93" s="28">
        <v>62334734215</v>
      </c>
    </row>
    <row r="94" spans="1:4" x14ac:dyDescent="0.2">
      <c r="A94" s="41" t="s">
        <v>694</v>
      </c>
      <c r="B94" s="41">
        <v>6</v>
      </c>
      <c r="C94" s="24" t="s">
        <v>15</v>
      </c>
      <c r="D94" s="28">
        <v>0</v>
      </c>
    </row>
    <row r="95" spans="1:4" x14ac:dyDescent="0.2">
      <c r="A95" s="41" t="s">
        <v>98</v>
      </c>
      <c r="B95" s="41">
        <v>6</v>
      </c>
      <c r="C95" s="24" t="s">
        <v>695</v>
      </c>
      <c r="D95" s="28">
        <v>33640723251</v>
      </c>
    </row>
    <row r="96" spans="1:4" x14ac:dyDescent="0.2">
      <c r="A96" s="41" t="s">
        <v>101</v>
      </c>
      <c r="B96" s="41">
        <v>6</v>
      </c>
      <c r="C96" s="24" t="s">
        <v>696</v>
      </c>
      <c r="D96" s="28">
        <v>0</v>
      </c>
    </row>
    <row r="97" spans="1:4" x14ac:dyDescent="0.2">
      <c r="A97" s="41" t="s">
        <v>103</v>
      </c>
      <c r="B97" s="41">
        <v>6</v>
      </c>
      <c r="C97" s="24" t="s">
        <v>697</v>
      </c>
      <c r="D97" s="28">
        <v>44870773537</v>
      </c>
    </row>
    <row r="98" spans="1:4" x14ac:dyDescent="0.2">
      <c r="A98" s="41" t="s">
        <v>107</v>
      </c>
      <c r="B98" s="41">
        <v>6</v>
      </c>
      <c r="C98" s="24" t="s">
        <v>698</v>
      </c>
      <c r="D98" s="28">
        <v>81125258</v>
      </c>
    </row>
    <row r="99" spans="1:4" x14ac:dyDescent="0.2">
      <c r="A99" s="41" t="s">
        <v>111</v>
      </c>
      <c r="B99" s="41">
        <v>6</v>
      </c>
      <c r="C99" s="24" t="s">
        <v>699</v>
      </c>
    </row>
    <row r="100" spans="1:4" x14ac:dyDescent="0.2">
      <c r="A100" s="41" t="s">
        <v>113</v>
      </c>
      <c r="B100" s="41">
        <v>6</v>
      </c>
      <c r="C100" s="24" t="s">
        <v>700</v>
      </c>
    </row>
    <row r="101" spans="1:4" x14ac:dyDescent="0.2">
      <c r="A101" s="41" t="s">
        <v>117</v>
      </c>
      <c r="B101" s="41">
        <v>6</v>
      </c>
      <c r="C101" s="24" t="s">
        <v>701</v>
      </c>
      <c r="D101" s="28">
        <v>8916919</v>
      </c>
    </row>
    <row r="102" spans="1:4" x14ac:dyDescent="0.2">
      <c r="A102" s="41" t="s">
        <v>119</v>
      </c>
      <c r="B102" s="41">
        <v>6</v>
      </c>
      <c r="C102" s="24" t="s">
        <v>702</v>
      </c>
      <c r="D102" s="28">
        <v>243836746</v>
      </c>
    </row>
    <row r="103" spans="1:4" x14ac:dyDescent="0.2">
      <c r="A103" s="41" t="s">
        <v>122</v>
      </c>
      <c r="B103" s="41">
        <v>6</v>
      </c>
      <c r="C103" s="24" t="s">
        <v>703</v>
      </c>
      <c r="D103" s="28">
        <v>498519138</v>
      </c>
    </row>
    <row r="104" spans="1:4" x14ac:dyDescent="0.2">
      <c r="A104" s="41" t="s">
        <v>125</v>
      </c>
      <c r="B104" s="41">
        <v>6</v>
      </c>
      <c r="C104" s="24" t="s">
        <v>703</v>
      </c>
      <c r="D104" s="28">
        <v>-11616208778</v>
      </c>
    </row>
    <row r="105" spans="1:4" x14ac:dyDescent="0.2">
      <c r="A105" s="41" t="s">
        <v>130</v>
      </c>
      <c r="B105" s="41">
        <v>6</v>
      </c>
      <c r="C105" s="24" t="s">
        <v>704</v>
      </c>
      <c r="D105" s="28">
        <v>202920081</v>
      </c>
    </row>
    <row r="106" spans="1:4" x14ac:dyDescent="0.2">
      <c r="A106" s="41" t="s">
        <v>132</v>
      </c>
      <c r="B106" s="41">
        <v>6</v>
      </c>
      <c r="C106" s="24" t="s">
        <v>705</v>
      </c>
      <c r="D106" s="28">
        <v>38253829</v>
      </c>
    </row>
    <row r="107" spans="1:4" x14ac:dyDescent="0.2">
      <c r="A107" s="41" t="s">
        <v>136</v>
      </c>
      <c r="B107" s="41">
        <v>6</v>
      </c>
      <c r="C107" s="24" t="s">
        <v>706</v>
      </c>
      <c r="D107" s="28">
        <v>40846140</v>
      </c>
    </row>
    <row r="108" spans="1:4" x14ac:dyDescent="0.2">
      <c r="A108" s="41" t="s">
        <v>138</v>
      </c>
      <c r="B108" s="41">
        <v>6</v>
      </c>
      <c r="C108" s="24" t="s">
        <v>707</v>
      </c>
      <c r="D108" s="28">
        <v>83299970</v>
      </c>
    </row>
    <row r="109" spans="1:4" x14ac:dyDescent="0.2">
      <c r="A109" s="41" t="s">
        <v>142</v>
      </c>
      <c r="B109" s="41">
        <v>6</v>
      </c>
      <c r="C109" s="24" t="s">
        <v>708</v>
      </c>
      <c r="D109" s="28">
        <v>8925239</v>
      </c>
    </row>
    <row r="110" spans="1:4" x14ac:dyDescent="0.2">
      <c r="A110" s="41" t="s">
        <v>146</v>
      </c>
      <c r="B110" s="41">
        <v>6</v>
      </c>
      <c r="C110" s="24" t="s">
        <v>709</v>
      </c>
      <c r="D110" s="28">
        <v>-127235967</v>
      </c>
    </row>
    <row r="111" spans="1:4" x14ac:dyDescent="0.2">
      <c r="A111" s="41" t="s">
        <v>147</v>
      </c>
      <c r="B111" s="41">
        <v>6</v>
      </c>
      <c r="C111" s="24" t="s">
        <v>710</v>
      </c>
      <c r="D111" s="28">
        <v>-56521543</v>
      </c>
    </row>
    <row r="112" spans="1:4" x14ac:dyDescent="0.2">
      <c r="A112" s="41" t="s">
        <v>148</v>
      </c>
      <c r="B112" s="41">
        <v>6</v>
      </c>
      <c r="C112" s="24" t="s">
        <v>711</v>
      </c>
      <c r="D112" s="28">
        <v>-3830555</v>
      </c>
    </row>
    <row r="113" spans="1:4" x14ac:dyDescent="0.2">
      <c r="A113" s="41" t="s">
        <v>153</v>
      </c>
      <c r="B113" s="41">
        <v>6</v>
      </c>
      <c r="C113" s="24" t="s">
        <v>712</v>
      </c>
      <c r="D113" s="28">
        <v>22240533</v>
      </c>
    </row>
    <row r="114" spans="1:4" x14ac:dyDescent="0.2">
      <c r="A114" s="41" t="s">
        <v>166</v>
      </c>
      <c r="B114" s="41">
        <v>6</v>
      </c>
      <c r="C114" s="24" t="s">
        <v>713</v>
      </c>
      <c r="D114" s="28">
        <v>367242956</v>
      </c>
    </row>
    <row r="115" spans="1:4" x14ac:dyDescent="0.2">
      <c r="A115" s="41" t="s">
        <v>186</v>
      </c>
      <c r="B115" s="41">
        <v>6</v>
      </c>
      <c r="C115" s="24" t="s">
        <v>714</v>
      </c>
      <c r="D115" s="28">
        <v>-852548282</v>
      </c>
    </row>
    <row r="116" spans="1:4" x14ac:dyDescent="0.2">
      <c r="A116" s="41" t="s">
        <v>206</v>
      </c>
      <c r="B116" s="41">
        <v>6</v>
      </c>
      <c r="C116" s="24" t="s">
        <v>715</v>
      </c>
      <c r="D116" s="28">
        <v>-53939008</v>
      </c>
    </row>
    <row r="117" spans="1:4" x14ac:dyDescent="0.2">
      <c r="A117" s="41" t="s">
        <v>208</v>
      </c>
      <c r="B117" s="41">
        <v>6</v>
      </c>
      <c r="C117" s="24" t="s">
        <v>716</v>
      </c>
      <c r="D117" s="28">
        <v>-18227858</v>
      </c>
    </row>
    <row r="118" spans="1:4" x14ac:dyDescent="0.2">
      <c r="A118" s="41" t="s">
        <v>210</v>
      </c>
      <c r="B118" s="41">
        <v>6</v>
      </c>
      <c r="C118" s="24" t="s">
        <v>717</v>
      </c>
      <c r="D118" s="28">
        <v>-2060548</v>
      </c>
    </row>
    <row r="119" spans="1:4" x14ac:dyDescent="0.2">
      <c r="A119" s="41" t="s">
        <v>718</v>
      </c>
      <c r="B119" s="41">
        <v>6</v>
      </c>
      <c r="C119" s="24" t="s">
        <v>712</v>
      </c>
      <c r="D119" s="28">
        <v>0</v>
      </c>
    </row>
    <row r="120" spans="1:4" x14ac:dyDescent="0.2">
      <c r="A120" s="41" t="s">
        <v>212</v>
      </c>
      <c r="B120" s="41">
        <v>6</v>
      </c>
      <c r="C120" s="24" t="s">
        <v>719</v>
      </c>
      <c r="D120" s="28">
        <v>-113519689</v>
      </c>
    </row>
    <row r="121" spans="1:4" x14ac:dyDescent="0.2">
      <c r="A121" s="41" t="s">
        <v>213</v>
      </c>
      <c r="B121" s="41">
        <v>6</v>
      </c>
      <c r="C121" s="24" t="s">
        <v>720</v>
      </c>
      <c r="D121" s="28">
        <v>-86928927</v>
      </c>
    </row>
    <row r="122" spans="1:4" x14ac:dyDescent="0.2">
      <c r="A122" s="41" t="s">
        <v>214</v>
      </c>
      <c r="B122" s="41">
        <v>6</v>
      </c>
      <c r="C122" s="24" t="s">
        <v>721</v>
      </c>
      <c r="D122" s="28">
        <v>-61539300</v>
      </c>
    </row>
    <row r="123" spans="1:4" x14ac:dyDescent="0.2">
      <c r="A123" s="41" t="s">
        <v>216</v>
      </c>
      <c r="B123" s="41">
        <v>6</v>
      </c>
      <c r="C123" s="24" t="s">
        <v>722</v>
      </c>
      <c r="D123" s="28">
        <v>-697216</v>
      </c>
    </row>
    <row r="124" spans="1:4" x14ac:dyDescent="0.2">
      <c r="A124" s="41" t="s">
        <v>218</v>
      </c>
      <c r="B124" s="41">
        <v>6</v>
      </c>
      <c r="C124" s="24" t="s">
        <v>723</v>
      </c>
      <c r="D124" s="28">
        <v>-2330896</v>
      </c>
    </row>
    <row r="125" spans="1:4" x14ac:dyDescent="0.2">
      <c r="A125" s="41" t="s">
        <v>724</v>
      </c>
      <c r="B125" s="41">
        <v>6</v>
      </c>
      <c r="C125" s="24" t="s">
        <v>725</v>
      </c>
      <c r="D125" s="28">
        <v>0</v>
      </c>
    </row>
    <row r="126" spans="1:4" x14ac:dyDescent="0.2">
      <c r="A126" s="41" t="s">
        <v>219</v>
      </c>
      <c r="B126" s="41">
        <v>6</v>
      </c>
      <c r="C126" s="24" t="s">
        <v>726</v>
      </c>
      <c r="D126" s="28">
        <v>-3547300</v>
      </c>
    </row>
    <row r="127" spans="1:4" x14ac:dyDescent="0.2">
      <c r="A127" s="41" t="s">
        <v>221</v>
      </c>
      <c r="B127" s="41">
        <v>6</v>
      </c>
      <c r="C127" s="24" t="s">
        <v>727</v>
      </c>
      <c r="D127" s="28">
        <v>-11733200</v>
      </c>
    </row>
    <row r="128" spans="1:4" x14ac:dyDescent="0.2">
      <c r="A128" s="41" t="s">
        <v>728</v>
      </c>
      <c r="B128" s="41">
        <v>6</v>
      </c>
      <c r="C128" s="24" t="s">
        <v>729</v>
      </c>
      <c r="D128" s="28">
        <v>0</v>
      </c>
    </row>
    <row r="129" spans="1:4" x14ac:dyDescent="0.2">
      <c r="A129" s="41" t="s">
        <v>222</v>
      </c>
      <c r="B129" s="41">
        <v>6</v>
      </c>
      <c r="C129" s="24" t="s">
        <v>730</v>
      </c>
      <c r="D129" s="28">
        <v>-5399887221</v>
      </c>
    </row>
    <row r="130" spans="1:4" x14ac:dyDescent="0.2">
      <c r="A130" s="41" t="s">
        <v>224</v>
      </c>
      <c r="B130" s="41">
        <v>6</v>
      </c>
      <c r="C130" s="24" t="s">
        <v>14</v>
      </c>
      <c r="D130" s="28">
        <v>-24816049</v>
      </c>
    </row>
    <row r="131" spans="1:4" x14ac:dyDescent="0.2">
      <c r="A131" s="41" t="s">
        <v>226</v>
      </c>
      <c r="B131" s="41">
        <v>6</v>
      </c>
      <c r="C131" s="24" t="s">
        <v>731</v>
      </c>
      <c r="D131" s="28">
        <v>-2789898080</v>
      </c>
    </row>
    <row r="132" spans="1:4" x14ac:dyDescent="0.2">
      <c r="A132" s="41" t="s">
        <v>230</v>
      </c>
      <c r="B132" s="41">
        <v>6</v>
      </c>
      <c r="C132" s="24" t="s">
        <v>730</v>
      </c>
      <c r="D132" s="28">
        <v>-1074448607</v>
      </c>
    </row>
    <row r="133" spans="1:4" x14ac:dyDescent="0.2">
      <c r="A133" s="41" t="s">
        <v>231</v>
      </c>
      <c r="B133" s="41">
        <v>6</v>
      </c>
      <c r="C133" s="24" t="s">
        <v>729</v>
      </c>
      <c r="D133" s="28">
        <v>-151510</v>
      </c>
    </row>
    <row r="134" spans="1:4" x14ac:dyDescent="0.2">
      <c r="A134" s="41" t="s">
        <v>233</v>
      </c>
      <c r="B134" s="41">
        <v>6</v>
      </c>
      <c r="C134" s="24" t="s">
        <v>14</v>
      </c>
      <c r="D134" s="28">
        <v>-110702126</v>
      </c>
    </row>
    <row r="135" spans="1:4" x14ac:dyDescent="0.2">
      <c r="A135" s="41" t="s">
        <v>234</v>
      </c>
      <c r="B135" s="41">
        <v>6</v>
      </c>
      <c r="C135" s="24" t="s">
        <v>716</v>
      </c>
      <c r="D135" s="28">
        <v>-3968133</v>
      </c>
    </row>
    <row r="136" spans="1:4" x14ac:dyDescent="0.2">
      <c r="A136" s="41" t="s">
        <v>235</v>
      </c>
      <c r="B136" s="41">
        <v>6</v>
      </c>
      <c r="C136" s="24" t="s">
        <v>732</v>
      </c>
      <c r="D136" s="28">
        <v>-2296433</v>
      </c>
    </row>
    <row r="137" spans="1:4" x14ac:dyDescent="0.2">
      <c r="A137" s="41" t="s">
        <v>237</v>
      </c>
      <c r="B137" s="41">
        <v>6</v>
      </c>
      <c r="C137" s="24" t="s">
        <v>733</v>
      </c>
      <c r="D137" s="28">
        <v>-30895453</v>
      </c>
    </row>
    <row r="138" spans="1:4" x14ac:dyDescent="0.2">
      <c r="A138" s="41" t="s">
        <v>239</v>
      </c>
      <c r="B138" s="41">
        <v>6</v>
      </c>
      <c r="C138" s="24" t="s">
        <v>734</v>
      </c>
      <c r="D138" s="28">
        <v>-19501398</v>
      </c>
    </row>
    <row r="139" spans="1:4" x14ac:dyDescent="0.2">
      <c r="A139" s="41" t="s">
        <v>241</v>
      </c>
      <c r="B139" s="41">
        <v>6</v>
      </c>
      <c r="C139" s="24" t="s">
        <v>735</v>
      </c>
      <c r="D139" s="28">
        <v>-2826924</v>
      </c>
    </row>
    <row r="140" spans="1:4" x14ac:dyDescent="0.2">
      <c r="A140" s="41" t="s">
        <v>736</v>
      </c>
      <c r="B140" s="41">
        <v>6</v>
      </c>
      <c r="C140" s="24" t="s">
        <v>737</v>
      </c>
      <c r="D140" s="28">
        <v>0</v>
      </c>
    </row>
    <row r="141" spans="1:4" x14ac:dyDescent="0.2">
      <c r="A141" s="41" t="s">
        <v>738</v>
      </c>
      <c r="B141" s="41">
        <v>6</v>
      </c>
      <c r="C141" s="24" t="s">
        <v>739</v>
      </c>
    </row>
    <row r="142" spans="1:4" x14ac:dyDescent="0.2">
      <c r="A142" s="41" t="s">
        <v>245</v>
      </c>
      <c r="B142" s="41">
        <v>6</v>
      </c>
      <c r="C142" s="24" t="s">
        <v>740</v>
      </c>
      <c r="D142" s="28">
        <v>-178025591</v>
      </c>
    </row>
    <row r="143" spans="1:4" x14ac:dyDescent="0.2">
      <c r="A143" s="41" t="s">
        <v>249</v>
      </c>
      <c r="B143" s="41">
        <v>6</v>
      </c>
      <c r="C143" s="24" t="s">
        <v>741</v>
      </c>
      <c r="D143" s="28">
        <v>-260336026</v>
      </c>
    </row>
    <row r="144" spans="1:4" x14ac:dyDescent="0.2">
      <c r="A144" s="41" t="s">
        <v>742</v>
      </c>
      <c r="B144" s="41">
        <v>6</v>
      </c>
      <c r="C144" s="24" t="s">
        <v>743</v>
      </c>
    </row>
    <row r="145" spans="1:4" x14ac:dyDescent="0.2">
      <c r="A145" s="41" t="s">
        <v>251</v>
      </c>
      <c r="B145" s="41">
        <v>6</v>
      </c>
      <c r="C145" s="24" t="s">
        <v>744</v>
      </c>
      <c r="D145" s="28">
        <v>-1319541</v>
      </c>
    </row>
    <row r="146" spans="1:4" x14ac:dyDescent="0.2">
      <c r="A146" s="41" t="s">
        <v>289</v>
      </c>
      <c r="B146" s="41">
        <v>6</v>
      </c>
      <c r="C146" s="24" t="s">
        <v>745</v>
      </c>
      <c r="D146" s="28">
        <v>-7566275</v>
      </c>
    </row>
    <row r="147" spans="1:4" x14ac:dyDescent="0.2">
      <c r="A147" s="41" t="s">
        <v>291</v>
      </c>
      <c r="B147" s="41">
        <v>6</v>
      </c>
      <c r="C147" s="24" t="s">
        <v>746</v>
      </c>
      <c r="D147" s="28">
        <v>-163650993</v>
      </c>
    </row>
    <row r="148" spans="1:4" x14ac:dyDescent="0.2">
      <c r="A148" s="41" t="s">
        <v>293</v>
      </c>
      <c r="B148" s="41">
        <v>6</v>
      </c>
      <c r="C148" s="24" t="s">
        <v>747</v>
      </c>
      <c r="D148" s="28">
        <v>-13634928</v>
      </c>
    </row>
    <row r="149" spans="1:4" x14ac:dyDescent="0.2">
      <c r="A149" s="41" t="s">
        <v>295</v>
      </c>
      <c r="B149" s="41">
        <v>6</v>
      </c>
      <c r="C149" s="24" t="s">
        <v>748</v>
      </c>
      <c r="D149" s="28">
        <v>-132334539</v>
      </c>
    </row>
    <row r="150" spans="1:4" x14ac:dyDescent="0.2">
      <c r="A150" s="41" t="s">
        <v>297</v>
      </c>
      <c r="B150" s="41">
        <v>6</v>
      </c>
      <c r="C150" s="24" t="s">
        <v>749</v>
      </c>
      <c r="D150" s="28">
        <v>-2004047</v>
      </c>
    </row>
    <row r="151" spans="1:4" x14ac:dyDescent="0.2">
      <c r="A151" s="41" t="s">
        <v>318</v>
      </c>
      <c r="B151" s="41">
        <v>6</v>
      </c>
      <c r="C151" s="44" t="s">
        <v>750</v>
      </c>
      <c r="D151" s="28">
        <v>-2011966470</v>
      </c>
    </row>
    <row r="152" spans="1:4" x14ac:dyDescent="0.2">
      <c r="A152" s="41" t="s">
        <v>319</v>
      </c>
      <c r="B152" s="41">
        <v>6</v>
      </c>
      <c r="C152" s="24" t="s">
        <v>751</v>
      </c>
      <c r="D152" s="28">
        <v>-51687679</v>
      </c>
    </row>
    <row r="153" spans="1:4" x14ac:dyDescent="0.2">
      <c r="A153" s="41" t="s">
        <v>320</v>
      </c>
      <c r="B153" s="41">
        <v>6</v>
      </c>
      <c r="C153" s="24" t="s">
        <v>752</v>
      </c>
      <c r="D153" s="28">
        <v>-5604876120</v>
      </c>
    </row>
    <row r="154" spans="1:4" x14ac:dyDescent="0.2">
      <c r="A154" s="41" t="s">
        <v>321</v>
      </c>
      <c r="B154" s="41">
        <v>6</v>
      </c>
      <c r="C154" s="24" t="s">
        <v>753</v>
      </c>
      <c r="D154" s="28">
        <v>-208692452871</v>
      </c>
    </row>
    <row r="155" spans="1:4" x14ac:dyDescent="0.2">
      <c r="A155" s="41" t="s">
        <v>323</v>
      </c>
      <c r="B155" s="41">
        <v>6</v>
      </c>
      <c r="C155" s="44" t="s">
        <v>754</v>
      </c>
    </row>
    <row r="156" spans="1:4" x14ac:dyDescent="0.2">
      <c r="A156" s="41" t="s">
        <v>324</v>
      </c>
      <c r="B156" s="41">
        <v>6</v>
      </c>
      <c r="C156" s="24" t="s">
        <v>755</v>
      </c>
      <c r="D156" s="28">
        <v>-14976575837</v>
      </c>
    </row>
    <row r="157" spans="1:4" x14ac:dyDescent="0.2">
      <c r="A157" s="41" t="s">
        <v>333</v>
      </c>
      <c r="B157" s="41">
        <v>6</v>
      </c>
      <c r="C157" s="24" t="s">
        <v>756</v>
      </c>
    </row>
    <row r="158" spans="1:4" x14ac:dyDescent="0.2">
      <c r="A158" s="41" t="s">
        <v>335</v>
      </c>
      <c r="B158" s="41">
        <v>6</v>
      </c>
      <c r="C158" s="24" t="s">
        <v>757</v>
      </c>
      <c r="D158" s="28">
        <v>-92218173073</v>
      </c>
    </row>
    <row r="159" spans="1:4" x14ac:dyDescent="0.2">
      <c r="A159" s="41" t="s">
        <v>758</v>
      </c>
      <c r="B159" s="41">
        <v>6</v>
      </c>
      <c r="C159" s="24" t="s">
        <v>746</v>
      </c>
      <c r="D159" s="28">
        <v>0</v>
      </c>
    </row>
    <row r="160" spans="1:4" x14ac:dyDescent="0.2">
      <c r="A160" s="41" t="s">
        <v>759</v>
      </c>
      <c r="B160" s="41">
        <v>6</v>
      </c>
      <c r="C160" s="24" t="s">
        <v>747</v>
      </c>
      <c r="D160" s="28">
        <v>0</v>
      </c>
    </row>
    <row r="161" spans="1:4" x14ac:dyDescent="0.2">
      <c r="A161" s="41" t="s">
        <v>760</v>
      </c>
      <c r="B161" s="41">
        <v>6</v>
      </c>
      <c r="C161" s="24" t="s">
        <v>748</v>
      </c>
      <c r="D161" s="28">
        <v>0</v>
      </c>
    </row>
    <row r="162" spans="1:4" x14ac:dyDescent="0.2">
      <c r="A162" s="41" t="s">
        <v>761</v>
      </c>
      <c r="B162" s="41">
        <v>6</v>
      </c>
      <c r="C162" s="24" t="s">
        <v>762</v>
      </c>
      <c r="D162" s="28">
        <v>0</v>
      </c>
    </row>
    <row r="163" spans="1:4" x14ac:dyDescent="0.2">
      <c r="A163" s="41" t="s">
        <v>339</v>
      </c>
      <c r="B163" s="41">
        <v>6</v>
      </c>
      <c r="C163" s="24" t="s">
        <v>763</v>
      </c>
      <c r="D163" s="28">
        <v>-21916462</v>
      </c>
    </row>
    <row r="164" spans="1:4" x14ac:dyDescent="0.2">
      <c r="A164" s="41" t="s">
        <v>340</v>
      </c>
      <c r="B164" s="41">
        <v>6</v>
      </c>
      <c r="C164" s="24" t="s">
        <v>764</v>
      </c>
    </row>
    <row r="165" spans="1:4" x14ac:dyDescent="0.2">
      <c r="A165" s="41" t="s">
        <v>342</v>
      </c>
      <c r="B165" s="41">
        <v>6</v>
      </c>
      <c r="C165" s="24" t="s">
        <v>765</v>
      </c>
    </row>
    <row r="166" spans="1:4" x14ac:dyDescent="0.2">
      <c r="A166" s="41" t="s">
        <v>344</v>
      </c>
      <c r="B166" s="41">
        <v>6</v>
      </c>
      <c r="C166" s="45" t="s">
        <v>766</v>
      </c>
    </row>
    <row r="167" spans="1:4" x14ac:dyDescent="0.2">
      <c r="A167" s="41" t="s">
        <v>346</v>
      </c>
      <c r="B167" s="41">
        <v>6</v>
      </c>
      <c r="C167" s="24" t="s">
        <v>347</v>
      </c>
      <c r="D167" s="28">
        <v>-956934331</v>
      </c>
    </row>
    <row r="168" spans="1:4" x14ac:dyDescent="0.2">
      <c r="A168" s="41" t="s">
        <v>767</v>
      </c>
      <c r="B168" s="41">
        <v>6</v>
      </c>
      <c r="C168" s="24" t="s">
        <v>768</v>
      </c>
      <c r="D168" s="28">
        <v>0</v>
      </c>
    </row>
    <row r="169" spans="1:4" x14ac:dyDescent="0.2">
      <c r="A169" s="41" t="s">
        <v>358</v>
      </c>
      <c r="B169" s="41">
        <v>6</v>
      </c>
      <c r="C169" s="24" t="s">
        <v>769</v>
      </c>
      <c r="D169" s="28">
        <v>-81852000000</v>
      </c>
    </row>
    <row r="170" spans="1:4" x14ac:dyDescent="0.2">
      <c r="A170" s="41" t="s">
        <v>770</v>
      </c>
      <c r="B170" s="41">
        <v>6</v>
      </c>
      <c r="C170" s="24" t="s">
        <v>771</v>
      </c>
      <c r="D170" s="28">
        <v>0</v>
      </c>
    </row>
    <row r="171" spans="1:4" x14ac:dyDescent="0.2">
      <c r="A171" s="41" t="s">
        <v>364</v>
      </c>
      <c r="B171" s="41">
        <v>6</v>
      </c>
      <c r="C171" s="24" t="s">
        <v>772</v>
      </c>
      <c r="D171" s="28">
        <v>142020232589</v>
      </c>
    </row>
    <row r="172" spans="1:4" x14ac:dyDescent="0.2">
      <c r="A172" s="41" t="s">
        <v>379</v>
      </c>
      <c r="B172" s="41">
        <v>6</v>
      </c>
      <c r="C172" s="24" t="s">
        <v>773</v>
      </c>
      <c r="D172" s="28">
        <v>-7494929691</v>
      </c>
    </row>
    <row r="173" spans="1:4" x14ac:dyDescent="0.2">
      <c r="A173" s="41" t="s">
        <v>383</v>
      </c>
      <c r="B173" s="41">
        <v>6</v>
      </c>
      <c r="C173" s="24" t="s">
        <v>774</v>
      </c>
      <c r="D173" s="28">
        <v>-1087684191507</v>
      </c>
    </row>
    <row r="174" spans="1:4" x14ac:dyDescent="0.2">
      <c r="A174" s="41" t="s">
        <v>385</v>
      </c>
      <c r="B174" s="41">
        <v>6</v>
      </c>
      <c r="C174" s="24" t="s">
        <v>775</v>
      </c>
      <c r="D174" s="28">
        <v>-3752703650</v>
      </c>
    </row>
    <row r="175" spans="1:4" x14ac:dyDescent="0.2">
      <c r="A175" s="41" t="s">
        <v>387</v>
      </c>
      <c r="B175" s="41">
        <v>6</v>
      </c>
      <c r="C175" s="24" t="s">
        <v>689</v>
      </c>
      <c r="D175" s="28">
        <v>-6537408745</v>
      </c>
    </row>
    <row r="176" spans="1:4" x14ac:dyDescent="0.2">
      <c r="A176" s="41" t="s">
        <v>388</v>
      </c>
      <c r="B176" s="41">
        <v>6</v>
      </c>
      <c r="C176" s="24" t="s">
        <v>15</v>
      </c>
      <c r="D176" s="28">
        <v>-53482782</v>
      </c>
    </row>
    <row r="177" spans="1:4" x14ac:dyDescent="0.2">
      <c r="A177" s="41" t="s">
        <v>390</v>
      </c>
      <c r="B177" s="41">
        <v>6</v>
      </c>
      <c r="C177" s="24" t="s">
        <v>695</v>
      </c>
      <c r="D177" s="28">
        <v>-84902762579</v>
      </c>
    </row>
    <row r="178" spans="1:4" x14ac:dyDescent="0.2">
      <c r="A178" s="41" t="s">
        <v>404</v>
      </c>
      <c r="B178" s="41">
        <v>6</v>
      </c>
      <c r="C178" s="24" t="s">
        <v>776</v>
      </c>
      <c r="D178" s="28">
        <v>-307003039</v>
      </c>
    </row>
    <row r="179" spans="1:4" x14ac:dyDescent="0.2">
      <c r="A179" s="41" t="s">
        <v>405</v>
      </c>
      <c r="B179" s="41">
        <v>6</v>
      </c>
      <c r="C179" s="24" t="s">
        <v>777</v>
      </c>
      <c r="D179" s="28">
        <v>-3098258</v>
      </c>
    </row>
    <row r="180" spans="1:4" x14ac:dyDescent="0.2">
      <c r="A180" s="41" t="s">
        <v>406</v>
      </c>
      <c r="B180" s="41">
        <v>6</v>
      </c>
      <c r="C180" s="24" t="s">
        <v>778</v>
      </c>
      <c r="D180" s="28">
        <v>-3208750162</v>
      </c>
    </row>
    <row r="181" spans="1:4" x14ac:dyDescent="0.2">
      <c r="A181" s="41" t="s">
        <v>409</v>
      </c>
      <c r="B181" s="41">
        <v>6</v>
      </c>
      <c r="C181" s="44" t="s">
        <v>779</v>
      </c>
    </row>
    <row r="182" spans="1:4" x14ac:dyDescent="0.2">
      <c r="A182" s="41" t="s">
        <v>780</v>
      </c>
      <c r="B182" s="41">
        <v>6</v>
      </c>
      <c r="C182" s="24" t="s">
        <v>781</v>
      </c>
      <c r="D182" s="28">
        <v>0</v>
      </c>
    </row>
    <row r="183" spans="1:4" x14ac:dyDescent="0.2">
      <c r="A183" s="41" t="s">
        <v>419</v>
      </c>
      <c r="B183" s="41">
        <v>6</v>
      </c>
      <c r="C183" s="24" t="s">
        <v>782</v>
      </c>
      <c r="D183" s="28">
        <v>0</v>
      </c>
    </row>
    <row r="184" spans="1:4" x14ac:dyDescent="0.2">
      <c r="A184" s="41" t="s">
        <v>420</v>
      </c>
      <c r="B184" s="41">
        <v>6</v>
      </c>
      <c r="C184" s="24" t="s">
        <v>783</v>
      </c>
      <c r="D184" s="28">
        <v>-657468</v>
      </c>
    </row>
    <row r="185" spans="1:4" x14ac:dyDescent="0.2">
      <c r="A185" s="41" t="s">
        <v>423</v>
      </c>
      <c r="B185" s="41">
        <v>6</v>
      </c>
      <c r="C185" s="24" t="s">
        <v>784</v>
      </c>
      <c r="D185" s="28">
        <v>-32712523842</v>
      </c>
    </row>
    <row r="186" spans="1:4" x14ac:dyDescent="0.2">
      <c r="A186" s="41" t="s">
        <v>431</v>
      </c>
      <c r="B186" s="41">
        <v>6</v>
      </c>
      <c r="C186" s="24" t="s">
        <v>785</v>
      </c>
      <c r="D186" s="28">
        <v>2092536516</v>
      </c>
    </row>
    <row r="187" spans="1:4" x14ac:dyDescent="0.2">
      <c r="A187" s="41" t="s">
        <v>433</v>
      </c>
      <c r="B187" s="41">
        <v>6</v>
      </c>
      <c r="C187" s="24" t="s">
        <v>786</v>
      </c>
      <c r="D187" s="28">
        <v>2760198</v>
      </c>
    </row>
    <row r="188" spans="1:4" x14ac:dyDescent="0.2">
      <c r="A188" s="41" t="s">
        <v>435</v>
      </c>
      <c r="B188" s="41">
        <v>6</v>
      </c>
      <c r="C188" s="24" t="s">
        <v>787</v>
      </c>
      <c r="D188" s="28">
        <v>828946</v>
      </c>
    </row>
    <row r="189" spans="1:4" x14ac:dyDescent="0.2">
      <c r="A189" s="41" t="s">
        <v>437</v>
      </c>
      <c r="B189" s="41">
        <v>6</v>
      </c>
      <c r="C189" s="24" t="s">
        <v>788</v>
      </c>
      <c r="D189" s="28">
        <v>999805317</v>
      </c>
    </row>
    <row r="190" spans="1:4" ht="15.75" customHeight="1" x14ac:dyDescent="0.2">
      <c r="A190" s="41" t="s">
        <v>439</v>
      </c>
      <c r="B190" s="41">
        <v>6</v>
      </c>
      <c r="C190" s="24" t="s">
        <v>730</v>
      </c>
      <c r="D190" s="28">
        <v>2594082660</v>
      </c>
    </row>
    <row r="191" spans="1:4" x14ac:dyDescent="0.2">
      <c r="A191" s="41" t="s">
        <v>440</v>
      </c>
      <c r="B191" s="41">
        <v>6</v>
      </c>
      <c r="C191" s="24" t="s">
        <v>748</v>
      </c>
      <c r="D191" s="28">
        <v>146522267</v>
      </c>
    </row>
    <row r="192" spans="1:4" x14ac:dyDescent="0.2">
      <c r="A192" s="41" t="s">
        <v>441</v>
      </c>
      <c r="B192" s="41">
        <v>6</v>
      </c>
      <c r="C192" s="24" t="s">
        <v>789</v>
      </c>
      <c r="D192" s="28">
        <v>44967218</v>
      </c>
    </row>
    <row r="193" spans="1:4" x14ac:dyDescent="0.2">
      <c r="A193" s="41" t="s">
        <v>443</v>
      </c>
      <c r="B193" s="41">
        <v>6</v>
      </c>
      <c r="C193" s="24" t="s">
        <v>746</v>
      </c>
      <c r="D193" s="28">
        <v>178762487</v>
      </c>
    </row>
    <row r="194" spans="1:4" x14ac:dyDescent="0.2">
      <c r="A194" s="41" t="s">
        <v>444</v>
      </c>
      <c r="B194" s="41">
        <v>6</v>
      </c>
      <c r="C194" s="24" t="s">
        <v>790</v>
      </c>
      <c r="D194" s="28">
        <v>14130099</v>
      </c>
    </row>
    <row r="195" spans="1:4" x14ac:dyDescent="0.2">
      <c r="A195" s="41" t="s">
        <v>446</v>
      </c>
      <c r="B195" s="41">
        <v>6</v>
      </c>
      <c r="C195" s="24" t="s">
        <v>791</v>
      </c>
      <c r="D195" s="28">
        <v>29024698</v>
      </c>
    </row>
    <row r="196" spans="1:4" x14ac:dyDescent="0.2">
      <c r="A196" s="41" t="s">
        <v>447</v>
      </c>
      <c r="B196" s="41">
        <v>6</v>
      </c>
      <c r="C196" s="44" t="s">
        <v>792</v>
      </c>
      <c r="D196" s="46">
        <v>4809250</v>
      </c>
    </row>
    <row r="197" spans="1:4" x14ac:dyDescent="0.2">
      <c r="A197" s="41" t="s">
        <v>449</v>
      </c>
      <c r="B197" s="41">
        <v>6</v>
      </c>
      <c r="C197" s="24" t="s">
        <v>793</v>
      </c>
      <c r="D197" s="28">
        <v>953834654</v>
      </c>
    </row>
    <row r="198" spans="1:4" x14ac:dyDescent="0.2">
      <c r="A198" s="41" t="s">
        <v>451</v>
      </c>
      <c r="B198" s="41">
        <v>6</v>
      </c>
      <c r="C198" s="24" t="s">
        <v>794</v>
      </c>
      <c r="D198" s="28">
        <v>36210610</v>
      </c>
    </row>
    <row r="199" spans="1:4" x14ac:dyDescent="0.2">
      <c r="A199" s="41" t="s">
        <v>453</v>
      </c>
      <c r="B199" s="41">
        <v>6</v>
      </c>
      <c r="C199" s="24" t="s">
        <v>795</v>
      </c>
      <c r="D199" s="28">
        <v>84603634</v>
      </c>
    </row>
    <row r="200" spans="1:4" x14ac:dyDescent="0.2">
      <c r="A200" s="41" t="s">
        <v>455</v>
      </c>
      <c r="B200" s="41">
        <v>6</v>
      </c>
      <c r="C200" s="24" t="s">
        <v>762</v>
      </c>
      <c r="D200" s="28">
        <v>178766936</v>
      </c>
    </row>
    <row r="201" spans="1:4" x14ac:dyDescent="0.2">
      <c r="A201" s="41" t="s">
        <v>458</v>
      </c>
      <c r="B201" s="41">
        <v>6</v>
      </c>
      <c r="C201" s="24" t="s">
        <v>15</v>
      </c>
      <c r="D201" s="28">
        <v>17224863</v>
      </c>
    </row>
    <row r="202" spans="1:4" x14ac:dyDescent="0.2">
      <c r="A202" s="41" t="s">
        <v>459</v>
      </c>
      <c r="B202" s="41">
        <v>6</v>
      </c>
      <c r="C202" s="24" t="s">
        <v>796</v>
      </c>
    </row>
    <row r="203" spans="1:4" x14ac:dyDescent="0.2">
      <c r="A203" s="41" t="s">
        <v>463</v>
      </c>
      <c r="B203" s="41">
        <v>6</v>
      </c>
      <c r="C203" s="24" t="s">
        <v>797</v>
      </c>
      <c r="D203" s="28">
        <v>111022580</v>
      </c>
    </row>
    <row r="204" spans="1:4" x14ac:dyDescent="0.2">
      <c r="A204" s="41" t="s">
        <v>464</v>
      </c>
      <c r="B204" s="41">
        <v>6</v>
      </c>
      <c r="C204" s="24" t="s">
        <v>798</v>
      </c>
      <c r="D204" s="28">
        <v>238692333</v>
      </c>
    </row>
    <row r="205" spans="1:4" x14ac:dyDescent="0.2">
      <c r="A205" s="41" t="s">
        <v>466</v>
      </c>
      <c r="B205" s="41">
        <v>6</v>
      </c>
      <c r="C205" s="24" t="s">
        <v>799</v>
      </c>
      <c r="D205" s="28">
        <v>14368878</v>
      </c>
    </row>
    <row r="206" spans="1:4" x14ac:dyDescent="0.2">
      <c r="A206" s="41" t="s">
        <v>468</v>
      </c>
      <c r="B206" s="41">
        <v>6</v>
      </c>
      <c r="C206" s="24" t="s">
        <v>800</v>
      </c>
      <c r="D206" s="28">
        <v>111821324</v>
      </c>
    </row>
    <row r="207" spans="1:4" x14ac:dyDescent="0.2">
      <c r="A207" s="41" t="s">
        <v>470</v>
      </c>
      <c r="B207" s="41">
        <v>6</v>
      </c>
      <c r="C207" s="24" t="s">
        <v>801</v>
      </c>
      <c r="D207" s="28">
        <v>224332249</v>
      </c>
    </row>
    <row r="208" spans="1:4" x14ac:dyDescent="0.2">
      <c r="A208" s="41" t="s">
        <v>474</v>
      </c>
      <c r="B208" s="41">
        <v>6</v>
      </c>
      <c r="C208" s="24" t="s">
        <v>802</v>
      </c>
      <c r="D208" s="28">
        <v>83269710</v>
      </c>
    </row>
    <row r="209" spans="1:4" x14ac:dyDescent="0.2">
      <c r="A209" s="41" t="s">
        <v>476</v>
      </c>
      <c r="B209" s="41">
        <v>6</v>
      </c>
      <c r="C209" s="24" t="s">
        <v>803</v>
      </c>
      <c r="D209" s="28">
        <v>55499040</v>
      </c>
    </row>
    <row r="210" spans="1:4" x14ac:dyDescent="0.2">
      <c r="A210" s="41" t="s">
        <v>496</v>
      </c>
      <c r="B210" s="41">
        <v>6</v>
      </c>
      <c r="C210" s="24" t="s">
        <v>804</v>
      </c>
      <c r="D210" s="28">
        <v>5035383009</v>
      </c>
    </row>
    <row r="211" spans="1:4" x14ac:dyDescent="0.2">
      <c r="A211" s="41" t="s">
        <v>498</v>
      </c>
      <c r="B211" s="41">
        <v>6</v>
      </c>
      <c r="C211" s="24" t="s">
        <v>805</v>
      </c>
    </row>
    <row r="212" spans="1:4" x14ac:dyDescent="0.2">
      <c r="A212" s="41" t="s">
        <v>500</v>
      </c>
      <c r="B212" s="41">
        <v>6</v>
      </c>
      <c r="C212" s="24" t="s">
        <v>806</v>
      </c>
      <c r="D212" s="28">
        <v>10341215</v>
      </c>
    </row>
    <row r="213" spans="1:4" x14ac:dyDescent="0.2">
      <c r="A213" s="41" t="s">
        <v>502</v>
      </c>
      <c r="B213" s="41">
        <v>6</v>
      </c>
      <c r="C213" s="24" t="s">
        <v>807</v>
      </c>
      <c r="D213" s="28">
        <v>154972283</v>
      </c>
    </row>
    <row r="214" spans="1:4" x14ac:dyDescent="0.2">
      <c r="A214" s="41" t="s">
        <v>504</v>
      </c>
      <c r="B214" s="41">
        <v>6</v>
      </c>
      <c r="C214" s="24" t="s">
        <v>808</v>
      </c>
      <c r="D214" s="28">
        <v>98336380</v>
      </c>
    </row>
    <row r="215" spans="1:4" x14ac:dyDescent="0.2">
      <c r="A215" s="41" t="s">
        <v>506</v>
      </c>
      <c r="B215" s="41">
        <v>6</v>
      </c>
      <c r="C215" s="24" t="s">
        <v>715</v>
      </c>
      <c r="D215" s="28">
        <v>856613609</v>
      </c>
    </row>
    <row r="216" spans="1:4" x14ac:dyDescent="0.2">
      <c r="A216" s="41" t="s">
        <v>507</v>
      </c>
      <c r="B216" s="41">
        <v>6</v>
      </c>
      <c r="C216" s="24" t="s">
        <v>809</v>
      </c>
      <c r="D216" s="28">
        <v>1533788346</v>
      </c>
    </row>
    <row r="217" spans="1:4" x14ac:dyDescent="0.2">
      <c r="A217" s="41" t="s">
        <v>509</v>
      </c>
      <c r="B217" s="41">
        <v>6</v>
      </c>
      <c r="C217" s="24" t="s">
        <v>717</v>
      </c>
      <c r="D217" s="28">
        <v>0</v>
      </c>
    </row>
    <row r="218" spans="1:4" x14ac:dyDescent="0.2">
      <c r="A218" s="41" t="s">
        <v>510</v>
      </c>
      <c r="B218" s="41">
        <v>6</v>
      </c>
      <c r="C218" s="24" t="s">
        <v>810</v>
      </c>
      <c r="D218" s="28">
        <v>701804226</v>
      </c>
    </row>
    <row r="219" spans="1:4" x14ac:dyDescent="0.2">
      <c r="A219" s="41" t="s">
        <v>512</v>
      </c>
      <c r="B219" s="41">
        <v>6</v>
      </c>
      <c r="C219" s="24" t="s">
        <v>811</v>
      </c>
      <c r="D219" s="28">
        <v>144584286</v>
      </c>
    </row>
    <row r="220" spans="1:4" x14ac:dyDescent="0.2">
      <c r="A220" s="41" t="s">
        <v>514</v>
      </c>
      <c r="B220" s="41">
        <v>6</v>
      </c>
      <c r="C220" s="24" t="s">
        <v>812</v>
      </c>
      <c r="D220" s="28">
        <v>533300</v>
      </c>
    </row>
    <row r="221" spans="1:4" x14ac:dyDescent="0.2">
      <c r="A221" s="41" t="s">
        <v>516</v>
      </c>
      <c r="B221" s="41">
        <v>6</v>
      </c>
      <c r="C221" s="24" t="s">
        <v>813</v>
      </c>
      <c r="D221" s="28">
        <v>49118822</v>
      </c>
    </row>
    <row r="222" spans="1:4" x14ac:dyDescent="0.2">
      <c r="A222" s="41" t="s">
        <v>518</v>
      </c>
      <c r="B222" s="41">
        <v>6</v>
      </c>
      <c r="C222" s="24" t="s">
        <v>814</v>
      </c>
      <c r="D222" s="28">
        <v>226342729</v>
      </c>
    </row>
    <row r="223" spans="1:4" x14ac:dyDescent="0.2">
      <c r="A223" s="41" t="s">
        <v>520</v>
      </c>
      <c r="B223" s="41">
        <v>6</v>
      </c>
      <c r="C223" s="24" t="s">
        <v>815</v>
      </c>
      <c r="D223" s="28">
        <v>37688896</v>
      </c>
    </row>
    <row r="224" spans="1:4" x14ac:dyDescent="0.2">
      <c r="A224" s="41" t="s">
        <v>522</v>
      </c>
      <c r="B224" s="41">
        <v>6</v>
      </c>
      <c r="C224" s="24" t="s">
        <v>816</v>
      </c>
      <c r="D224" s="28">
        <v>37512303324</v>
      </c>
    </row>
    <row r="225" spans="1:4" x14ac:dyDescent="0.2">
      <c r="A225" s="41" t="s">
        <v>524</v>
      </c>
      <c r="B225" s="41">
        <v>6</v>
      </c>
      <c r="C225" s="24" t="s">
        <v>817</v>
      </c>
      <c r="D225" s="28">
        <v>31464399</v>
      </c>
    </row>
    <row r="226" spans="1:4" x14ac:dyDescent="0.2">
      <c r="A226" s="41" t="s">
        <v>526</v>
      </c>
      <c r="B226" s="41">
        <v>6</v>
      </c>
      <c r="C226" s="24" t="s">
        <v>818</v>
      </c>
      <c r="D226" s="28">
        <v>112559344</v>
      </c>
    </row>
    <row r="227" spans="1:4" x14ac:dyDescent="0.2">
      <c r="A227" s="41" t="s">
        <v>528</v>
      </c>
      <c r="B227" s="41">
        <v>6</v>
      </c>
      <c r="C227" s="24" t="s">
        <v>819</v>
      </c>
      <c r="D227" s="28">
        <v>6185760</v>
      </c>
    </row>
    <row r="228" spans="1:4" x14ac:dyDescent="0.2">
      <c r="A228" s="41" t="s">
        <v>530</v>
      </c>
      <c r="B228" s="41">
        <v>6</v>
      </c>
      <c r="C228" s="24" t="s">
        <v>820</v>
      </c>
      <c r="D228" s="28">
        <v>2515598</v>
      </c>
    </row>
    <row r="229" spans="1:4" x14ac:dyDescent="0.2">
      <c r="A229" s="41" t="s">
        <v>532</v>
      </c>
      <c r="B229" s="41">
        <v>6</v>
      </c>
      <c r="C229" s="24" t="s">
        <v>821</v>
      </c>
    </row>
    <row r="230" spans="1:4" x14ac:dyDescent="0.2">
      <c r="A230" s="41" t="s">
        <v>539</v>
      </c>
      <c r="B230" s="41">
        <v>6</v>
      </c>
      <c r="C230" s="44" t="s">
        <v>739</v>
      </c>
    </row>
    <row r="231" spans="1:4" x14ac:dyDescent="0.2">
      <c r="A231" s="41" t="s">
        <v>541</v>
      </c>
      <c r="B231" s="41">
        <v>6</v>
      </c>
      <c r="C231" s="24" t="s">
        <v>822</v>
      </c>
      <c r="D231" s="28">
        <v>383037235</v>
      </c>
    </row>
    <row r="232" spans="1:4" x14ac:dyDescent="0.2">
      <c r="A232" s="41" t="s">
        <v>543</v>
      </c>
      <c r="B232" s="41">
        <v>6</v>
      </c>
      <c r="C232" s="24" t="s">
        <v>823</v>
      </c>
    </row>
    <row r="233" spans="1:4" x14ac:dyDescent="0.2">
      <c r="A233" s="41" t="s">
        <v>545</v>
      </c>
      <c r="B233" s="41">
        <v>6</v>
      </c>
      <c r="C233" s="24" t="s">
        <v>824</v>
      </c>
      <c r="D233" s="28">
        <v>1393580</v>
      </c>
    </row>
    <row r="234" spans="1:4" x14ac:dyDescent="0.2">
      <c r="A234" s="41" t="s">
        <v>551</v>
      </c>
      <c r="B234" s="41">
        <v>6</v>
      </c>
      <c r="C234" s="24" t="s">
        <v>703</v>
      </c>
      <c r="D234" s="28">
        <v>9139558610</v>
      </c>
    </row>
    <row r="235" spans="1:4" x14ac:dyDescent="0.2">
      <c r="A235" s="41" t="s">
        <v>554</v>
      </c>
      <c r="B235" s="41">
        <v>6</v>
      </c>
      <c r="C235" s="24" t="s">
        <v>756</v>
      </c>
    </row>
    <row r="236" spans="1:4" x14ac:dyDescent="0.2">
      <c r="A236" s="41" t="s">
        <v>555</v>
      </c>
      <c r="B236" s="41">
        <v>6</v>
      </c>
      <c r="C236" s="24" t="s">
        <v>336</v>
      </c>
      <c r="D236" s="28">
        <v>0</v>
      </c>
    </row>
    <row r="237" spans="1:4" x14ac:dyDescent="0.2">
      <c r="A237" s="41" t="s">
        <v>558</v>
      </c>
      <c r="B237" s="41">
        <v>6</v>
      </c>
      <c r="C237" s="24" t="s">
        <v>347</v>
      </c>
      <c r="D237" s="28">
        <v>964239818</v>
      </c>
    </row>
    <row r="238" spans="1:4" x14ac:dyDescent="0.2">
      <c r="A238" s="41" t="s">
        <v>825</v>
      </c>
      <c r="B238" s="41">
        <v>6</v>
      </c>
      <c r="C238" s="24" t="s">
        <v>826</v>
      </c>
      <c r="D238" s="28">
        <v>0</v>
      </c>
    </row>
    <row r="239" spans="1:4" x14ac:dyDescent="0.2">
      <c r="A239" s="41" t="s">
        <v>561</v>
      </c>
      <c r="B239" s="41">
        <v>6</v>
      </c>
      <c r="C239" s="24" t="s">
        <v>709</v>
      </c>
      <c r="D239" s="28">
        <v>44094661</v>
      </c>
    </row>
    <row r="240" spans="1:4" x14ac:dyDescent="0.2">
      <c r="A240" s="41" t="s">
        <v>562</v>
      </c>
      <c r="B240" s="41">
        <v>6</v>
      </c>
      <c r="C240" s="24" t="s">
        <v>827</v>
      </c>
      <c r="D240" s="28">
        <v>20320093</v>
      </c>
    </row>
    <row r="241" spans="1:4" x14ac:dyDescent="0.2">
      <c r="A241" s="41" t="s">
        <v>564</v>
      </c>
      <c r="B241" s="41">
        <v>6</v>
      </c>
      <c r="C241" s="24" t="s">
        <v>711</v>
      </c>
      <c r="D241" s="28">
        <v>2246675</v>
      </c>
    </row>
    <row r="242" spans="1:4" x14ac:dyDescent="0.2">
      <c r="A242" s="41" t="s">
        <v>567</v>
      </c>
      <c r="B242" s="41">
        <v>6</v>
      </c>
      <c r="C242" s="24" t="s">
        <v>828</v>
      </c>
      <c r="D242" s="28">
        <v>218520000</v>
      </c>
    </row>
    <row r="243" spans="1:4" x14ac:dyDescent="0.2">
      <c r="A243" s="41" t="s">
        <v>569</v>
      </c>
      <c r="B243" s="41">
        <v>6</v>
      </c>
      <c r="C243" s="24" t="s">
        <v>829</v>
      </c>
      <c r="D243" s="28">
        <v>24337325</v>
      </c>
    </row>
    <row r="244" spans="1:4" x14ac:dyDescent="0.2">
      <c r="A244" s="41" t="s">
        <v>611</v>
      </c>
      <c r="B244" s="41">
        <v>6</v>
      </c>
      <c r="C244" s="24" t="s">
        <v>830</v>
      </c>
      <c r="D244" s="28">
        <v>2976449929</v>
      </c>
    </row>
    <row r="245" spans="1:4" x14ac:dyDescent="0.2">
      <c r="A245" s="41" t="s">
        <v>616</v>
      </c>
      <c r="B245" s="41">
        <v>6</v>
      </c>
      <c r="C245" s="24" t="s">
        <v>831</v>
      </c>
      <c r="D245" s="28">
        <v>34011218</v>
      </c>
    </row>
    <row r="246" spans="1:4" x14ac:dyDescent="0.2">
      <c r="A246" s="41" t="s">
        <v>832</v>
      </c>
      <c r="B246" s="41">
        <v>6</v>
      </c>
      <c r="C246" s="44" t="s">
        <v>833</v>
      </c>
    </row>
    <row r="247" spans="1:4" x14ac:dyDescent="0.2">
      <c r="A247" s="41" t="s">
        <v>626</v>
      </c>
      <c r="B247" s="41">
        <v>6</v>
      </c>
      <c r="C247" s="24" t="s">
        <v>834</v>
      </c>
      <c r="D247" s="28">
        <v>1362436</v>
      </c>
    </row>
    <row r="248" spans="1:4" x14ac:dyDescent="0.2">
      <c r="A248" s="41" t="s">
        <v>628</v>
      </c>
      <c r="B248" s="41">
        <v>6</v>
      </c>
      <c r="C248" s="44" t="s">
        <v>835</v>
      </c>
    </row>
    <row r="249" spans="1:4" x14ac:dyDescent="0.2">
      <c r="A249" s="41" t="s">
        <v>630</v>
      </c>
      <c r="B249" s="41">
        <v>6</v>
      </c>
      <c r="C249" s="44" t="s">
        <v>836</v>
      </c>
    </row>
    <row r="250" spans="1:4" x14ac:dyDescent="0.2">
      <c r="A250" s="41" t="s">
        <v>633</v>
      </c>
      <c r="B250" s="41">
        <v>6</v>
      </c>
      <c r="C250" s="24" t="s">
        <v>837</v>
      </c>
      <c r="D250" s="28">
        <v>60000</v>
      </c>
    </row>
    <row r="251" spans="1:4" x14ac:dyDescent="0.2">
      <c r="A251" s="41" t="s">
        <v>838</v>
      </c>
      <c r="B251" s="41">
        <v>6</v>
      </c>
      <c r="C251" s="24" t="s">
        <v>839</v>
      </c>
      <c r="D251" s="28">
        <v>0</v>
      </c>
    </row>
    <row r="252" spans="1:4" x14ac:dyDescent="0.2">
      <c r="A252" s="41" t="s">
        <v>636</v>
      </c>
      <c r="B252" s="41">
        <v>6</v>
      </c>
      <c r="C252" s="24" t="s">
        <v>840</v>
      </c>
    </row>
    <row r="253" spans="1:4" x14ac:dyDescent="0.2">
      <c r="A253" s="41" t="s">
        <v>649</v>
      </c>
      <c r="B253" s="41">
        <v>6</v>
      </c>
      <c r="C253" s="47" t="s">
        <v>650</v>
      </c>
      <c r="D253" s="28">
        <v>2739802393</v>
      </c>
    </row>
    <row r="254" spans="1:4" x14ac:dyDescent="0.2">
      <c r="A254" s="41" t="s">
        <v>841</v>
      </c>
      <c r="B254" s="41">
        <v>6</v>
      </c>
      <c r="C254" s="47" t="s">
        <v>842</v>
      </c>
    </row>
    <row r="255" spans="1:4" x14ac:dyDescent="0.2">
      <c r="A255" s="41" t="s">
        <v>651</v>
      </c>
      <c r="B255" s="41">
        <v>6</v>
      </c>
      <c r="C255" s="47" t="s">
        <v>264</v>
      </c>
      <c r="D255" s="28">
        <v>301424586627</v>
      </c>
    </row>
    <row r="256" spans="1:4" x14ac:dyDescent="0.2">
      <c r="A256" s="41" t="s">
        <v>652</v>
      </c>
      <c r="B256" s="41">
        <v>6</v>
      </c>
      <c r="C256" s="47" t="s">
        <v>322</v>
      </c>
      <c r="D256" s="28">
        <v>862257280701</v>
      </c>
    </row>
    <row r="257" spans="1:4" x14ac:dyDescent="0.2">
      <c r="A257" s="41" t="s">
        <v>653</v>
      </c>
      <c r="B257" s="41">
        <v>6</v>
      </c>
      <c r="C257" s="47" t="s">
        <v>654</v>
      </c>
      <c r="D257" s="28">
        <v>20518643</v>
      </c>
    </row>
    <row r="258" spans="1:4" x14ac:dyDescent="0.2">
      <c r="A258" s="41" t="s">
        <v>655</v>
      </c>
      <c r="B258" s="41">
        <v>6</v>
      </c>
      <c r="C258" s="44" t="s">
        <v>843</v>
      </c>
    </row>
    <row r="259" spans="1:4" x14ac:dyDescent="0.2">
      <c r="A259" s="41" t="s">
        <v>656</v>
      </c>
      <c r="B259" s="41">
        <v>6</v>
      </c>
      <c r="C259" s="48" t="s">
        <v>844</v>
      </c>
    </row>
    <row r="260" spans="1:4" x14ac:dyDescent="0.2">
      <c r="A260" s="41" t="s">
        <v>845</v>
      </c>
      <c r="B260" s="41">
        <v>6</v>
      </c>
      <c r="C260" s="47" t="s">
        <v>765</v>
      </c>
    </row>
    <row r="261" spans="1:4" x14ac:dyDescent="0.2">
      <c r="A261" s="41" t="s">
        <v>657</v>
      </c>
      <c r="B261" s="41">
        <v>6</v>
      </c>
      <c r="C261" s="47" t="s">
        <v>658</v>
      </c>
    </row>
    <row r="262" spans="1:4" x14ac:dyDescent="0.2">
      <c r="A262" s="41" t="s">
        <v>659</v>
      </c>
      <c r="B262" s="41">
        <v>6</v>
      </c>
      <c r="C262" s="47" t="s">
        <v>660</v>
      </c>
      <c r="D262" s="28">
        <v>92218173073</v>
      </c>
    </row>
  </sheetData>
  <autoFilter ref="A1:D262" xr:uid="{00000000-0009-0000-0000-00000E000000}">
    <sortState xmlns:xlrd2="http://schemas.microsoft.com/office/spreadsheetml/2017/richdata2" ref="A2:D657">
      <sortCondition ref="B1:B657"/>
    </sortState>
  </autoFilter>
  <pageMargins left="0.7" right="0.7" top="0.75" bottom="0.75" header="0.3" footer="0.3"/>
  <pageSetup paperSize="9" scale="81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0"/>
  <dimension ref="A1:F269"/>
  <sheetViews>
    <sheetView topLeftCell="B4" zoomScale="120" zoomScaleNormal="120" zoomScaleSheetLayoutView="100" workbookViewId="0">
      <selection activeCell="D25" sqref="D25"/>
    </sheetView>
  </sheetViews>
  <sheetFormatPr baseColWidth="10" defaultColWidth="11.42578125" defaultRowHeight="12" x14ac:dyDescent="0.2"/>
  <cols>
    <col min="1" max="2" width="18.85546875" style="41" customWidth="1"/>
    <col min="3" max="4" width="54.85546875" style="24" customWidth="1"/>
    <col min="5" max="5" width="21.28515625" style="24" customWidth="1"/>
    <col min="6" max="6" width="17.140625" style="24" bestFit="1" customWidth="1"/>
    <col min="7" max="256" width="11.42578125" style="24"/>
    <col min="257" max="258" width="18.85546875" style="24" customWidth="1"/>
    <col min="259" max="260" width="54.85546875" style="24" customWidth="1"/>
    <col min="261" max="261" width="21.28515625" style="24" customWidth="1"/>
    <col min="262" max="262" width="17.140625" style="24" bestFit="1" customWidth="1"/>
    <col min="263" max="512" width="11.42578125" style="24"/>
    <col min="513" max="514" width="18.85546875" style="24" customWidth="1"/>
    <col min="515" max="516" width="54.85546875" style="24" customWidth="1"/>
    <col min="517" max="517" width="21.28515625" style="24" customWidth="1"/>
    <col min="518" max="518" width="17.140625" style="24" bestFit="1" customWidth="1"/>
    <col min="519" max="768" width="11.42578125" style="24"/>
    <col min="769" max="770" width="18.85546875" style="24" customWidth="1"/>
    <col min="771" max="772" width="54.85546875" style="24" customWidth="1"/>
    <col min="773" max="773" width="21.28515625" style="24" customWidth="1"/>
    <col min="774" max="774" width="17.140625" style="24" bestFit="1" customWidth="1"/>
    <col min="775" max="1024" width="11.42578125" style="24"/>
    <col min="1025" max="1026" width="18.85546875" style="24" customWidth="1"/>
    <col min="1027" max="1028" width="54.85546875" style="24" customWidth="1"/>
    <col min="1029" max="1029" width="21.28515625" style="24" customWidth="1"/>
    <col min="1030" max="1030" width="17.140625" style="24" bestFit="1" customWidth="1"/>
    <col min="1031" max="1280" width="11.42578125" style="24"/>
    <col min="1281" max="1282" width="18.85546875" style="24" customWidth="1"/>
    <col min="1283" max="1284" width="54.85546875" style="24" customWidth="1"/>
    <col min="1285" max="1285" width="21.28515625" style="24" customWidth="1"/>
    <col min="1286" max="1286" width="17.140625" style="24" bestFit="1" customWidth="1"/>
    <col min="1287" max="1536" width="11.42578125" style="24"/>
    <col min="1537" max="1538" width="18.85546875" style="24" customWidth="1"/>
    <col min="1539" max="1540" width="54.85546875" style="24" customWidth="1"/>
    <col min="1541" max="1541" width="21.28515625" style="24" customWidth="1"/>
    <col min="1542" max="1542" width="17.140625" style="24" bestFit="1" customWidth="1"/>
    <col min="1543" max="1792" width="11.42578125" style="24"/>
    <col min="1793" max="1794" width="18.85546875" style="24" customWidth="1"/>
    <col min="1795" max="1796" width="54.85546875" style="24" customWidth="1"/>
    <col min="1797" max="1797" width="21.28515625" style="24" customWidth="1"/>
    <col min="1798" max="1798" width="17.140625" style="24" bestFit="1" customWidth="1"/>
    <col min="1799" max="2048" width="11.42578125" style="24"/>
    <col min="2049" max="2050" width="18.85546875" style="24" customWidth="1"/>
    <col min="2051" max="2052" width="54.85546875" style="24" customWidth="1"/>
    <col min="2053" max="2053" width="21.28515625" style="24" customWidth="1"/>
    <col min="2054" max="2054" width="17.140625" style="24" bestFit="1" customWidth="1"/>
    <col min="2055" max="2304" width="11.42578125" style="24"/>
    <col min="2305" max="2306" width="18.85546875" style="24" customWidth="1"/>
    <col min="2307" max="2308" width="54.85546875" style="24" customWidth="1"/>
    <col min="2309" max="2309" width="21.28515625" style="24" customWidth="1"/>
    <col min="2310" max="2310" width="17.140625" style="24" bestFit="1" customWidth="1"/>
    <col min="2311" max="2560" width="11.42578125" style="24"/>
    <col min="2561" max="2562" width="18.85546875" style="24" customWidth="1"/>
    <col min="2563" max="2564" width="54.85546875" style="24" customWidth="1"/>
    <col min="2565" max="2565" width="21.28515625" style="24" customWidth="1"/>
    <col min="2566" max="2566" width="17.140625" style="24" bestFit="1" customWidth="1"/>
    <col min="2567" max="2816" width="11.42578125" style="24"/>
    <col min="2817" max="2818" width="18.85546875" style="24" customWidth="1"/>
    <col min="2819" max="2820" width="54.85546875" style="24" customWidth="1"/>
    <col min="2821" max="2821" width="21.28515625" style="24" customWidth="1"/>
    <col min="2822" max="2822" width="17.140625" style="24" bestFit="1" customWidth="1"/>
    <col min="2823" max="3072" width="11.42578125" style="24"/>
    <col min="3073" max="3074" width="18.85546875" style="24" customWidth="1"/>
    <col min="3075" max="3076" width="54.85546875" style="24" customWidth="1"/>
    <col min="3077" max="3077" width="21.28515625" style="24" customWidth="1"/>
    <col min="3078" max="3078" width="17.140625" style="24" bestFit="1" customWidth="1"/>
    <col min="3079" max="3328" width="11.42578125" style="24"/>
    <col min="3329" max="3330" width="18.85546875" style="24" customWidth="1"/>
    <col min="3331" max="3332" width="54.85546875" style="24" customWidth="1"/>
    <col min="3333" max="3333" width="21.28515625" style="24" customWidth="1"/>
    <col min="3334" max="3334" width="17.140625" style="24" bestFit="1" customWidth="1"/>
    <col min="3335" max="3584" width="11.42578125" style="24"/>
    <col min="3585" max="3586" width="18.85546875" style="24" customWidth="1"/>
    <col min="3587" max="3588" width="54.85546875" style="24" customWidth="1"/>
    <col min="3589" max="3589" width="21.28515625" style="24" customWidth="1"/>
    <col min="3590" max="3590" width="17.140625" style="24" bestFit="1" customWidth="1"/>
    <col min="3591" max="3840" width="11.42578125" style="24"/>
    <col min="3841" max="3842" width="18.85546875" style="24" customWidth="1"/>
    <col min="3843" max="3844" width="54.85546875" style="24" customWidth="1"/>
    <col min="3845" max="3845" width="21.28515625" style="24" customWidth="1"/>
    <col min="3846" max="3846" width="17.140625" style="24" bestFit="1" customWidth="1"/>
    <col min="3847" max="4096" width="11.42578125" style="24"/>
    <col min="4097" max="4098" width="18.85546875" style="24" customWidth="1"/>
    <col min="4099" max="4100" width="54.85546875" style="24" customWidth="1"/>
    <col min="4101" max="4101" width="21.28515625" style="24" customWidth="1"/>
    <col min="4102" max="4102" width="17.140625" style="24" bestFit="1" customWidth="1"/>
    <col min="4103" max="4352" width="11.42578125" style="24"/>
    <col min="4353" max="4354" width="18.85546875" style="24" customWidth="1"/>
    <col min="4355" max="4356" width="54.85546875" style="24" customWidth="1"/>
    <col min="4357" max="4357" width="21.28515625" style="24" customWidth="1"/>
    <col min="4358" max="4358" width="17.140625" style="24" bestFit="1" customWidth="1"/>
    <col min="4359" max="4608" width="11.42578125" style="24"/>
    <col min="4609" max="4610" width="18.85546875" style="24" customWidth="1"/>
    <col min="4611" max="4612" width="54.85546875" style="24" customWidth="1"/>
    <col min="4613" max="4613" width="21.28515625" style="24" customWidth="1"/>
    <col min="4614" max="4614" width="17.140625" style="24" bestFit="1" customWidth="1"/>
    <col min="4615" max="4864" width="11.42578125" style="24"/>
    <col min="4865" max="4866" width="18.85546875" style="24" customWidth="1"/>
    <col min="4867" max="4868" width="54.85546875" style="24" customWidth="1"/>
    <col min="4869" max="4869" width="21.28515625" style="24" customWidth="1"/>
    <col min="4870" max="4870" width="17.140625" style="24" bestFit="1" customWidth="1"/>
    <col min="4871" max="5120" width="11.42578125" style="24"/>
    <col min="5121" max="5122" width="18.85546875" style="24" customWidth="1"/>
    <col min="5123" max="5124" width="54.85546875" style="24" customWidth="1"/>
    <col min="5125" max="5125" width="21.28515625" style="24" customWidth="1"/>
    <col min="5126" max="5126" width="17.140625" style="24" bestFit="1" customWidth="1"/>
    <col min="5127" max="5376" width="11.42578125" style="24"/>
    <col min="5377" max="5378" width="18.85546875" style="24" customWidth="1"/>
    <col min="5379" max="5380" width="54.85546875" style="24" customWidth="1"/>
    <col min="5381" max="5381" width="21.28515625" style="24" customWidth="1"/>
    <col min="5382" max="5382" width="17.140625" style="24" bestFit="1" customWidth="1"/>
    <col min="5383" max="5632" width="11.42578125" style="24"/>
    <col min="5633" max="5634" width="18.85546875" style="24" customWidth="1"/>
    <col min="5635" max="5636" width="54.85546875" style="24" customWidth="1"/>
    <col min="5637" max="5637" width="21.28515625" style="24" customWidth="1"/>
    <col min="5638" max="5638" width="17.140625" style="24" bestFit="1" customWidth="1"/>
    <col min="5639" max="5888" width="11.42578125" style="24"/>
    <col min="5889" max="5890" width="18.85546875" style="24" customWidth="1"/>
    <col min="5891" max="5892" width="54.85546875" style="24" customWidth="1"/>
    <col min="5893" max="5893" width="21.28515625" style="24" customWidth="1"/>
    <col min="5894" max="5894" width="17.140625" style="24" bestFit="1" customWidth="1"/>
    <col min="5895" max="6144" width="11.42578125" style="24"/>
    <col min="6145" max="6146" width="18.85546875" style="24" customWidth="1"/>
    <col min="6147" max="6148" width="54.85546875" style="24" customWidth="1"/>
    <col min="6149" max="6149" width="21.28515625" style="24" customWidth="1"/>
    <col min="6150" max="6150" width="17.140625" style="24" bestFit="1" customWidth="1"/>
    <col min="6151" max="6400" width="11.42578125" style="24"/>
    <col min="6401" max="6402" width="18.85546875" style="24" customWidth="1"/>
    <col min="6403" max="6404" width="54.85546875" style="24" customWidth="1"/>
    <col min="6405" max="6405" width="21.28515625" style="24" customWidth="1"/>
    <col min="6406" max="6406" width="17.140625" style="24" bestFit="1" customWidth="1"/>
    <col min="6407" max="6656" width="11.42578125" style="24"/>
    <col min="6657" max="6658" width="18.85546875" style="24" customWidth="1"/>
    <col min="6659" max="6660" width="54.85546875" style="24" customWidth="1"/>
    <col min="6661" max="6661" width="21.28515625" style="24" customWidth="1"/>
    <col min="6662" max="6662" width="17.140625" style="24" bestFit="1" customWidth="1"/>
    <col min="6663" max="6912" width="11.42578125" style="24"/>
    <col min="6913" max="6914" width="18.85546875" style="24" customWidth="1"/>
    <col min="6915" max="6916" width="54.85546875" style="24" customWidth="1"/>
    <col min="6917" max="6917" width="21.28515625" style="24" customWidth="1"/>
    <col min="6918" max="6918" width="17.140625" style="24" bestFit="1" customWidth="1"/>
    <col min="6919" max="7168" width="11.42578125" style="24"/>
    <col min="7169" max="7170" width="18.85546875" style="24" customWidth="1"/>
    <col min="7171" max="7172" width="54.85546875" style="24" customWidth="1"/>
    <col min="7173" max="7173" width="21.28515625" style="24" customWidth="1"/>
    <col min="7174" max="7174" width="17.140625" style="24" bestFit="1" customWidth="1"/>
    <col min="7175" max="7424" width="11.42578125" style="24"/>
    <col min="7425" max="7426" width="18.85546875" style="24" customWidth="1"/>
    <col min="7427" max="7428" width="54.85546875" style="24" customWidth="1"/>
    <col min="7429" max="7429" width="21.28515625" style="24" customWidth="1"/>
    <col min="7430" max="7430" width="17.140625" style="24" bestFit="1" customWidth="1"/>
    <col min="7431" max="7680" width="11.42578125" style="24"/>
    <col min="7681" max="7682" width="18.85546875" style="24" customWidth="1"/>
    <col min="7683" max="7684" width="54.85546875" style="24" customWidth="1"/>
    <col min="7685" max="7685" width="21.28515625" style="24" customWidth="1"/>
    <col min="7686" max="7686" width="17.140625" style="24" bestFit="1" customWidth="1"/>
    <col min="7687" max="7936" width="11.42578125" style="24"/>
    <col min="7937" max="7938" width="18.85546875" style="24" customWidth="1"/>
    <col min="7939" max="7940" width="54.85546875" style="24" customWidth="1"/>
    <col min="7941" max="7941" width="21.28515625" style="24" customWidth="1"/>
    <col min="7942" max="7942" width="17.140625" style="24" bestFit="1" customWidth="1"/>
    <col min="7943" max="8192" width="11.42578125" style="24"/>
    <col min="8193" max="8194" width="18.85546875" style="24" customWidth="1"/>
    <col min="8195" max="8196" width="54.85546875" style="24" customWidth="1"/>
    <col min="8197" max="8197" width="21.28515625" style="24" customWidth="1"/>
    <col min="8198" max="8198" width="17.140625" style="24" bestFit="1" customWidth="1"/>
    <col min="8199" max="8448" width="11.42578125" style="24"/>
    <col min="8449" max="8450" width="18.85546875" style="24" customWidth="1"/>
    <col min="8451" max="8452" width="54.85546875" style="24" customWidth="1"/>
    <col min="8453" max="8453" width="21.28515625" style="24" customWidth="1"/>
    <col min="8454" max="8454" width="17.140625" style="24" bestFit="1" customWidth="1"/>
    <col min="8455" max="8704" width="11.42578125" style="24"/>
    <col min="8705" max="8706" width="18.85546875" style="24" customWidth="1"/>
    <col min="8707" max="8708" width="54.85546875" style="24" customWidth="1"/>
    <col min="8709" max="8709" width="21.28515625" style="24" customWidth="1"/>
    <col min="8710" max="8710" width="17.140625" style="24" bestFit="1" customWidth="1"/>
    <col min="8711" max="8960" width="11.42578125" style="24"/>
    <col min="8961" max="8962" width="18.85546875" style="24" customWidth="1"/>
    <col min="8963" max="8964" width="54.85546875" style="24" customWidth="1"/>
    <col min="8965" max="8965" width="21.28515625" style="24" customWidth="1"/>
    <col min="8966" max="8966" width="17.140625" style="24" bestFit="1" customWidth="1"/>
    <col min="8967" max="9216" width="11.42578125" style="24"/>
    <col min="9217" max="9218" width="18.85546875" style="24" customWidth="1"/>
    <col min="9219" max="9220" width="54.85546875" style="24" customWidth="1"/>
    <col min="9221" max="9221" width="21.28515625" style="24" customWidth="1"/>
    <col min="9222" max="9222" width="17.140625" style="24" bestFit="1" customWidth="1"/>
    <col min="9223" max="9472" width="11.42578125" style="24"/>
    <col min="9473" max="9474" width="18.85546875" style="24" customWidth="1"/>
    <col min="9475" max="9476" width="54.85546875" style="24" customWidth="1"/>
    <col min="9477" max="9477" width="21.28515625" style="24" customWidth="1"/>
    <col min="9478" max="9478" width="17.140625" style="24" bestFit="1" customWidth="1"/>
    <col min="9479" max="9728" width="11.42578125" style="24"/>
    <col min="9729" max="9730" width="18.85546875" style="24" customWidth="1"/>
    <col min="9731" max="9732" width="54.85546875" style="24" customWidth="1"/>
    <col min="9733" max="9733" width="21.28515625" style="24" customWidth="1"/>
    <col min="9734" max="9734" width="17.140625" style="24" bestFit="1" customWidth="1"/>
    <col min="9735" max="9984" width="11.42578125" style="24"/>
    <col min="9985" max="9986" width="18.85546875" style="24" customWidth="1"/>
    <col min="9987" max="9988" width="54.85546875" style="24" customWidth="1"/>
    <col min="9989" max="9989" width="21.28515625" style="24" customWidth="1"/>
    <col min="9990" max="9990" width="17.140625" style="24" bestFit="1" customWidth="1"/>
    <col min="9991" max="10240" width="11.42578125" style="24"/>
    <col min="10241" max="10242" width="18.85546875" style="24" customWidth="1"/>
    <col min="10243" max="10244" width="54.85546875" style="24" customWidth="1"/>
    <col min="10245" max="10245" width="21.28515625" style="24" customWidth="1"/>
    <col min="10246" max="10246" width="17.140625" style="24" bestFit="1" customWidth="1"/>
    <col min="10247" max="10496" width="11.42578125" style="24"/>
    <col min="10497" max="10498" width="18.85546875" style="24" customWidth="1"/>
    <col min="10499" max="10500" width="54.85546875" style="24" customWidth="1"/>
    <col min="10501" max="10501" width="21.28515625" style="24" customWidth="1"/>
    <col min="10502" max="10502" width="17.140625" style="24" bestFit="1" customWidth="1"/>
    <col min="10503" max="10752" width="11.42578125" style="24"/>
    <col min="10753" max="10754" width="18.85546875" style="24" customWidth="1"/>
    <col min="10755" max="10756" width="54.85546875" style="24" customWidth="1"/>
    <col min="10757" max="10757" width="21.28515625" style="24" customWidth="1"/>
    <col min="10758" max="10758" width="17.140625" style="24" bestFit="1" customWidth="1"/>
    <col min="10759" max="11008" width="11.42578125" style="24"/>
    <col min="11009" max="11010" width="18.85546875" style="24" customWidth="1"/>
    <col min="11011" max="11012" width="54.85546875" style="24" customWidth="1"/>
    <col min="11013" max="11013" width="21.28515625" style="24" customWidth="1"/>
    <col min="11014" max="11014" width="17.140625" style="24" bestFit="1" customWidth="1"/>
    <col min="11015" max="11264" width="11.42578125" style="24"/>
    <col min="11265" max="11266" width="18.85546875" style="24" customWidth="1"/>
    <col min="11267" max="11268" width="54.85546875" style="24" customWidth="1"/>
    <col min="11269" max="11269" width="21.28515625" style="24" customWidth="1"/>
    <col min="11270" max="11270" width="17.140625" style="24" bestFit="1" customWidth="1"/>
    <col min="11271" max="11520" width="11.42578125" style="24"/>
    <col min="11521" max="11522" width="18.85546875" style="24" customWidth="1"/>
    <col min="11523" max="11524" width="54.85546875" style="24" customWidth="1"/>
    <col min="11525" max="11525" width="21.28515625" style="24" customWidth="1"/>
    <col min="11526" max="11526" width="17.140625" style="24" bestFit="1" customWidth="1"/>
    <col min="11527" max="11776" width="11.42578125" style="24"/>
    <col min="11777" max="11778" width="18.85546875" style="24" customWidth="1"/>
    <col min="11779" max="11780" width="54.85546875" style="24" customWidth="1"/>
    <col min="11781" max="11781" width="21.28515625" style="24" customWidth="1"/>
    <col min="11782" max="11782" width="17.140625" style="24" bestFit="1" customWidth="1"/>
    <col min="11783" max="12032" width="11.42578125" style="24"/>
    <col min="12033" max="12034" width="18.85546875" style="24" customWidth="1"/>
    <col min="12035" max="12036" width="54.85546875" style="24" customWidth="1"/>
    <col min="12037" max="12037" width="21.28515625" style="24" customWidth="1"/>
    <col min="12038" max="12038" width="17.140625" style="24" bestFit="1" customWidth="1"/>
    <col min="12039" max="12288" width="11.42578125" style="24"/>
    <col min="12289" max="12290" width="18.85546875" style="24" customWidth="1"/>
    <col min="12291" max="12292" width="54.85546875" style="24" customWidth="1"/>
    <col min="12293" max="12293" width="21.28515625" style="24" customWidth="1"/>
    <col min="12294" max="12294" width="17.140625" style="24" bestFit="1" customWidth="1"/>
    <col min="12295" max="12544" width="11.42578125" style="24"/>
    <col min="12545" max="12546" width="18.85546875" style="24" customWidth="1"/>
    <col min="12547" max="12548" width="54.85546875" style="24" customWidth="1"/>
    <col min="12549" max="12549" width="21.28515625" style="24" customWidth="1"/>
    <col min="12550" max="12550" width="17.140625" style="24" bestFit="1" customWidth="1"/>
    <col min="12551" max="12800" width="11.42578125" style="24"/>
    <col min="12801" max="12802" width="18.85546875" style="24" customWidth="1"/>
    <col min="12803" max="12804" width="54.85546875" style="24" customWidth="1"/>
    <col min="12805" max="12805" width="21.28515625" style="24" customWidth="1"/>
    <col min="12806" max="12806" width="17.140625" style="24" bestFit="1" customWidth="1"/>
    <col min="12807" max="13056" width="11.42578125" style="24"/>
    <col min="13057" max="13058" width="18.85546875" style="24" customWidth="1"/>
    <col min="13059" max="13060" width="54.85546875" style="24" customWidth="1"/>
    <col min="13061" max="13061" width="21.28515625" style="24" customWidth="1"/>
    <col min="13062" max="13062" width="17.140625" style="24" bestFit="1" customWidth="1"/>
    <col min="13063" max="13312" width="11.42578125" style="24"/>
    <col min="13313" max="13314" width="18.85546875" style="24" customWidth="1"/>
    <col min="13315" max="13316" width="54.85546875" style="24" customWidth="1"/>
    <col min="13317" max="13317" width="21.28515625" style="24" customWidth="1"/>
    <col min="13318" max="13318" width="17.140625" style="24" bestFit="1" customWidth="1"/>
    <col min="13319" max="13568" width="11.42578125" style="24"/>
    <col min="13569" max="13570" width="18.85546875" style="24" customWidth="1"/>
    <col min="13571" max="13572" width="54.85546875" style="24" customWidth="1"/>
    <col min="13573" max="13573" width="21.28515625" style="24" customWidth="1"/>
    <col min="13574" max="13574" width="17.140625" style="24" bestFit="1" customWidth="1"/>
    <col min="13575" max="13824" width="11.42578125" style="24"/>
    <col min="13825" max="13826" width="18.85546875" style="24" customWidth="1"/>
    <col min="13827" max="13828" width="54.85546875" style="24" customWidth="1"/>
    <col min="13829" max="13829" width="21.28515625" style="24" customWidth="1"/>
    <col min="13830" max="13830" width="17.140625" style="24" bestFit="1" customWidth="1"/>
    <col min="13831" max="14080" width="11.42578125" style="24"/>
    <col min="14081" max="14082" width="18.85546875" style="24" customWidth="1"/>
    <col min="14083" max="14084" width="54.85546875" style="24" customWidth="1"/>
    <col min="14085" max="14085" width="21.28515625" style="24" customWidth="1"/>
    <col min="14086" max="14086" width="17.140625" style="24" bestFit="1" customWidth="1"/>
    <col min="14087" max="14336" width="11.42578125" style="24"/>
    <col min="14337" max="14338" width="18.85546875" style="24" customWidth="1"/>
    <col min="14339" max="14340" width="54.85546875" style="24" customWidth="1"/>
    <col min="14341" max="14341" width="21.28515625" style="24" customWidth="1"/>
    <col min="14342" max="14342" width="17.140625" style="24" bestFit="1" customWidth="1"/>
    <col min="14343" max="14592" width="11.42578125" style="24"/>
    <col min="14593" max="14594" width="18.85546875" style="24" customWidth="1"/>
    <col min="14595" max="14596" width="54.85546875" style="24" customWidth="1"/>
    <col min="14597" max="14597" width="21.28515625" style="24" customWidth="1"/>
    <col min="14598" max="14598" width="17.140625" style="24" bestFit="1" customWidth="1"/>
    <col min="14599" max="14848" width="11.42578125" style="24"/>
    <col min="14849" max="14850" width="18.85546875" style="24" customWidth="1"/>
    <col min="14851" max="14852" width="54.85546875" style="24" customWidth="1"/>
    <col min="14853" max="14853" width="21.28515625" style="24" customWidth="1"/>
    <col min="14854" max="14854" width="17.140625" style="24" bestFit="1" customWidth="1"/>
    <col min="14855" max="15104" width="11.42578125" style="24"/>
    <col min="15105" max="15106" width="18.85546875" style="24" customWidth="1"/>
    <col min="15107" max="15108" width="54.85546875" style="24" customWidth="1"/>
    <col min="15109" max="15109" width="21.28515625" style="24" customWidth="1"/>
    <col min="15110" max="15110" width="17.140625" style="24" bestFit="1" customWidth="1"/>
    <col min="15111" max="15360" width="11.42578125" style="24"/>
    <col min="15361" max="15362" width="18.85546875" style="24" customWidth="1"/>
    <col min="15363" max="15364" width="54.85546875" style="24" customWidth="1"/>
    <col min="15365" max="15365" width="21.28515625" style="24" customWidth="1"/>
    <col min="15366" max="15366" width="17.140625" style="24" bestFit="1" customWidth="1"/>
    <col min="15367" max="15616" width="11.42578125" style="24"/>
    <col min="15617" max="15618" width="18.85546875" style="24" customWidth="1"/>
    <col min="15619" max="15620" width="54.85546875" style="24" customWidth="1"/>
    <col min="15621" max="15621" width="21.28515625" style="24" customWidth="1"/>
    <col min="15622" max="15622" width="17.140625" style="24" bestFit="1" customWidth="1"/>
    <col min="15623" max="15872" width="11.42578125" style="24"/>
    <col min="15873" max="15874" width="18.85546875" style="24" customWidth="1"/>
    <col min="15875" max="15876" width="54.85546875" style="24" customWidth="1"/>
    <col min="15877" max="15877" width="21.28515625" style="24" customWidth="1"/>
    <col min="15878" max="15878" width="17.140625" style="24" bestFit="1" customWidth="1"/>
    <col min="15879" max="16128" width="11.42578125" style="24"/>
    <col min="16129" max="16130" width="18.85546875" style="24" customWidth="1"/>
    <col min="16131" max="16132" width="54.85546875" style="24" customWidth="1"/>
    <col min="16133" max="16133" width="21.28515625" style="24" customWidth="1"/>
    <col min="16134" max="16134" width="17.140625" style="24" bestFit="1" customWidth="1"/>
    <col min="16135" max="16384" width="11.42578125" style="24"/>
  </cols>
  <sheetData>
    <row r="1" spans="1:6" x14ac:dyDescent="0.2">
      <c r="A1" s="42" t="s">
        <v>25</v>
      </c>
      <c r="B1" s="42" t="s">
        <v>26</v>
      </c>
      <c r="C1" s="42" t="s">
        <v>27</v>
      </c>
      <c r="D1" s="42" t="s">
        <v>846</v>
      </c>
      <c r="E1" s="43" t="s">
        <v>29</v>
      </c>
    </row>
    <row r="2" spans="1:6" x14ac:dyDescent="0.2">
      <c r="A2" s="41" t="s">
        <v>32</v>
      </c>
      <c r="B2" s="41">
        <v>1</v>
      </c>
      <c r="C2" s="41" t="s">
        <v>667</v>
      </c>
      <c r="D2" s="41" t="s">
        <v>32</v>
      </c>
      <c r="E2" s="28">
        <v>233318009664</v>
      </c>
      <c r="F2" s="28"/>
    </row>
    <row r="3" spans="1:6" x14ac:dyDescent="0.2">
      <c r="A3" s="41" t="s">
        <v>34</v>
      </c>
      <c r="B3" s="41">
        <v>2</v>
      </c>
      <c r="C3" s="24" t="s">
        <v>35</v>
      </c>
      <c r="D3" s="41" t="s">
        <v>34</v>
      </c>
      <c r="E3" s="28">
        <v>15189324061</v>
      </c>
      <c r="F3" s="28"/>
    </row>
    <row r="4" spans="1:6" x14ac:dyDescent="0.2">
      <c r="A4" s="41" t="s">
        <v>36</v>
      </c>
      <c r="B4" s="41">
        <v>4</v>
      </c>
      <c r="C4" s="24" t="s">
        <v>37</v>
      </c>
      <c r="D4" s="41" t="s">
        <v>36</v>
      </c>
      <c r="E4" s="27">
        <v>0</v>
      </c>
    </row>
    <row r="5" spans="1:6" x14ac:dyDescent="0.2">
      <c r="A5" s="41" t="s">
        <v>38</v>
      </c>
      <c r="B5" s="41">
        <v>6</v>
      </c>
      <c r="C5" s="24" t="s">
        <v>678</v>
      </c>
      <c r="D5" s="41" t="s">
        <v>38</v>
      </c>
      <c r="E5" s="27">
        <v>0</v>
      </c>
      <c r="F5" s="28"/>
    </row>
    <row r="6" spans="1:6" x14ac:dyDescent="0.2">
      <c r="A6" s="41" t="s">
        <v>40</v>
      </c>
      <c r="B6" s="41">
        <v>4</v>
      </c>
      <c r="C6" s="24" t="s">
        <v>41</v>
      </c>
      <c r="D6" s="41" t="s">
        <v>40</v>
      </c>
      <c r="E6" s="28">
        <v>15189324061</v>
      </c>
      <c r="F6" s="28"/>
    </row>
    <row r="7" spans="1:6" x14ac:dyDescent="0.2">
      <c r="A7" s="41" t="s">
        <v>42</v>
      </c>
      <c r="B7" s="41">
        <v>6</v>
      </c>
      <c r="C7" s="44" t="s">
        <v>679</v>
      </c>
      <c r="D7" s="41" t="s">
        <v>42</v>
      </c>
      <c r="E7" s="28">
        <v>6941609229</v>
      </c>
      <c r="F7" s="28"/>
    </row>
    <row r="8" spans="1:6" x14ac:dyDescent="0.2">
      <c r="A8" s="41" t="s">
        <v>680</v>
      </c>
      <c r="B8" s="41">
        <v>6</v>
      </c>
      <c r="C8" s="44" t="s">
        <v>679</v>
      </c>
      <c r="D8" s="41" t="s">
        <v>680</v>
      </c>
      <c r="E8" s="28">
        <v>0</v>
      </c>
      <c r="F8" s="28"/>
    </row>
    <row r="9" spans="1:6" x14ac:dyDescent="0.2">
      <c r="A9" s="41" t="s">
        <v>44</v>
      </c>
      <c r="B9" s="41">
        <v>6</v>
      </c>
      <c r="C9" s="44" t="s">
        <v>681</v>
      </c>
      <c r="D9" s="41" t="s">
        <v>44</v>
      </c>
      <c r="E9" s="28">
        <v>8247714832</v>
      </c>
      <c r="F9" s="28"/>
    </row>
    <row r="10" spans="1:6" x14ac:dyDescent="0.2">
      <c r="A10" s="41" t="s">
        <v>46</v>
      </c>
      <c r="B10" s="41">
        <v>2</v>
      </c>
      <c r="C10" s="24" t="s">
        <v>47</v>
      </c>
      <c r="D10" s="41" t="s">
        <v>46</v>
      </c>
      <c r="E10" s="28">
        <v>5090000000</v>
      </c>
      <c r="F10" s="28"/>
    </row>
    <row r="11" spans="1:6" x14ac:dyDescent="0.2">
      <c r="A11" s="41" t="s">
        <v>48</v>
      </c>
      <c r="B11" s="41">
        <v>4</v>
      </c>
      <c r="C11" s="44" t="s">
        <v>49</v>
      </c>
      <c r="D11" s="41" t="s">
        <v>48</v>
      </c>
      <c r="E11" s="28">
        <v>5090000000</v>
      </c>
      <c r="F11" s="28"/>
    </row>
    <row r="12" spans="1:6" x14ac:dyDescent="0.2">
      <c r="A12" s="41" t="s">
        <v>50</v>
      </c>
      <c r="B12" s="41">
        <v>6</v>
      </c>
      <c r="C12" s="44" t="s">
        <v>682</v>
      </c>
      <c r="D12" s="41" t="s">
        <v>50</v>
      </c>
      <c r="E12" s="28">
        <v>5090000000</v>
      </c>
      <c r="F12" s="28"/>
    </row>
    <row r="13" spans="1:6" x14ac:dyDescent="0.2">
      <c r="A13" s="41" t="s">
        <v>86</v>
      </c>
      <c r="B13" s="41">
        <v>2</v>
      </c>
      <c r="C13" s="24" t="s">
        <v>87</v>
      </c>
      <c r="D13" s="41" t="s">
        <v>86</v>
      </c>
      <c r="E13" s="28">
        <v>190809174254</v>
      </c>
      <c r="F13" s="28"/>
    </row>
    <row r="14" spans="1:6" x14ac:dyDescent="0.2">
      <c r="A14" s="41" t="s">
        <v>88</v>
      </c>
      <c r="B14" s="41">
        <v>4</v>
      </c>
      <c r="C14" s="24" t="s">
        <v>61</v>
      </c>
      <c r="D14" s="41" t="s">
        <v>88</v>
      </c>
      <c r="E14" s="28">
        <v>167068545734</v>
      </c>
      <c r="F14" s="28"/>
    </row>
    <row r="15" spans="1:6" x14ac:dyDescent="0.2">
      <c r="A15" s="41" t="s">
        <v>684</v>
      </c>
      <c r="B15" s="41">
        <v>6</v>
      </c>
      <c r="C15" s="44" t="s">
        <v>685</v>
      </c>
      <c r="D15" s="41" t="s">
        <v>684</v>
      </c>
      <c r="E15" s="28">
        <v>0</v>
      </c>
      <c r="F15" s="28"/>
    </row>
    <row r="16" spans="1:6" x14ac:dyDescent="0.2">
      <c r="A16" s="41" t="s">
        <v>89</v>
      </c>
      <c r="B16" s="41">
        <v>6</v>
      </c>
      <c r="C16" s="44" t="s">
        <v>686</v>
      </c>
      <c r="D16" s="41" t="s">
        <v>89</v>
      </c>
      <c r="E16" s="28">
        <v>88910184</v>
      </c>
      <c r="F16" s="28"/>
    </row>
    <row r="17" spans="1:6" x14ac:dyDescent="0.2">
      <c r="A17" s="41" t="s">
        <v>687</v>
      </c>
      <c r="B17" s="41">
        <v>6</v>
      </c>
      <c r="C17" s="24" t="s">
        <v>688</v>
      </c>
      <c r="D17" s="41" t="s">
        <v>687</v>
      </c>
      <c r="E17" s="28">
        <v>0</v>
      </c>
      <c r="F17" s="28"/>
    </row>
    <row r="18" spans="1:6" x14ac:dyDescent="0.2">
      <c r="A18" s="41" t="s">
        <v>91</v>
      </c>
      <c r="B18" s="41">
        <v>6</v>
      </c>
      <c r="C18" s="44" t="s">
        <v>689</v>
      </c>
      <c r="D18" s="41" t="s">
        <v>91</v>
      </c>
      <c r="E18" s="28">
        <v>8006883218</v>
      </c>
      <c r="F18" s="28"/>
    </row>
    <row r="19" spans="1:6" x14ac:dyDescent="0.2">
      <c r="A19" s="41" t="s">
        <v>92</v>
      </c>
      <c r="B19" s="41">
        <v>6</v>
      </c>
      <c r="C19" s="44" t="s">
        <v>690</v>
      </c>
      <c r="D19" s="41" t="s">
        <v>92</v>
      </c>
      <c r="E19" s="28">
        <v>1452749789</v>
      </c>
      <c r="F19" s="28"/>
    </row>
    <row r="20" spans="1:6" x14ac:dyDescent="0.2">
      <c r="A20" s="41" t="s">
        <v>94</v>
      </c>
      <c r="B20" s="41">
        <v>6</v>
      </c>
      <c r="C20" s="24" t="s">
        <v>691</v>
      </c>
      <c r="D20" s="41" t="s">
        <v>94</v>
      </c>
      <c r="E20" s="28">
        <v>859678176</v>
      </c>
      <c r="F20" s="28"/>
    </row>
    <row r="21" spans="1:6" x14ac:dyDescent="0.2">
      <c r="A21" s="41" t="s">
        <v>96</v>
      </c>
      <c r="B21" s="41">
        <v>6</v>
      </c>
      <c r="C21" s="24" t="s">
        <v>692</v>
      </c>
      <c r="D21" s="41" t="s">
        <v>96</v>
      </c>
      <c r="E21" s="28">
        <v>31258196065</v>
      </c>
      <c r="F21" s="28"/>
    </row>
    <row r="22" spans="1:6" x14ac:dyDescent="0.2">
      <c r="A22" s="41" t="s">
        <v>97</v>
      </c>
      <c r="B22" s="41">
        <v>6</v>
      </c>
      <c r="C22" s="24" t="s">
        <v>693</v>
      </c>
      <c r="D22" s="41" t="s">
        <v>97</v>
      </c>
      <c r="E22" s="28">
        <v>90240603705</v>
      </c>
      <c r="F22" s="28"/>
    </row>
    <row r="23" spans="1:6" x14ac:dyDescent="0.2">
      <c r="A23" s="41" t="s">
        <v>694</v>
      </c>
      <c r="B23" s="41">
        <v>6</v>
      </c>
      <c r="C23" s="24" t="s">
        <v>15</v>
      </c>
      <c r="D23" s="41" t="s">
        <v>694</v>
      </c>
      <c r="E23" s="28">
        <v>0</v>
      </c>
      <c r="F23" s="28"/>
    </row>
    <row r="24" spans="1:6" x14ac:dyDescent="0.2">
      <c r="A24" s="41" t="s">
        <v>98</v>
      </c>
      <c r="B24" s="41">
        <v>6</v>
      </c>
      <c r="C24" s="24" t="s">
        <v>695</v>
      </c>
      <c r="D24" s="41" t="s">
        <v>98</v>
      </c>
      <c r="E24" s="28">
        <v>35161524597</v>
      </c>
      <c r="F24" s="28"/>
    </row>
    <row r="25" spans="1:6" x14ac:dyDescent="0.2">
      <c r="A25" s="41" t="s">
        <v>99</v>
      </c>
      <c r="B25" s="41">
        <v>4</v>
      </c>
      <c r="C25" s="24" t="s">
        <v>100</v>
      </c>
      <c r="D25" s="41" t="s">
        <v>99</v>
      </c>
      <c r="E25" s="28">
        <v>33614782341</v>
      </c>
      <c r="F25" s="28"/>
    </row>
    <row r="26" spans="1:6" x14ac:dyDescent="0.2">
      <c r="A26" s="41" t="s">
        <v>101</v>
      </c>
      <c r="B26" s="41">
        <v>6</v>
      </c>
      <c r="C26" s="24" t="s">
        <v>696</v>
      </c>
      <c r="D26" s="41" t="s">
        <v>101</v>
      </c>
      <c r="E26" s="28">
        <v>7820000</v>
      </c>
      <c r="F26" s="28"/>
    </row>
    <row r="27" spans="1:6" x14ac:dyDescent="0.2">
      <c r="A27" s="41" t="s">
        <v>103</v>
      </c>
      <c r="B27" s="41">
        <v>6</v>
      </c>
      <c r="C27" s="24" t="s">
        <v>697</v>
      </c>
      <c r="D27" s="41" t="s">
        <v>103</v>
      </c>
      <c r="E27" s="28">
        <v>33606962341</v>
      </c>
      <c r="F27" s="28"/>
    </row>
    <row r="28" spans="1:6" x14ac:dyDescent="0.2">
      <c r="A28" s="41" t="s">
        <v>105</v>
      </c>
      <c r="B28" s="41">
        <v>4</v>
      </c>
      <c r="C28" s="24" t="s">
        <v>106</v>
      </c>
      <c r="D28" s="41" t="s">
        <v>105</v>
      </c>
      <c r="E28" s="28">
        <v>138439758</v>
      </c>
      <c r="F28" s="28"/>
    </row>
    <row r="29" spans="1:6" x14ac:dyDescent="0.2">
      <c r="A29" s="41" t="s">
        <v>107</v>
      </c>
      <c r="B29" s="41">
        <v>6</v>
      </c>
      <c r="C29" s="24" t="s">
        <v>698</v>
      </c>
      <c r="D29" s="41" t="s">
        <v>107</v>
      </c>
      <c r="E29" s="28">
        <v>138439758</v>
      </c>
      <c r="F29" s="28"/>
    </row>
    <row r="30" spans="1:6" x14ac:dyDescent="0.2">
      <c r="A30" s="41" t="s">
        <v>109</v>
      </c>
      <c r="B30" s="41">
        <v>4</v>
      </c>
      <c r="C30" s="24" t="s">
        <v>110</v>
      </c>
      <c r="D30" s="41" t="s">
        <v>109</v>
      </c>
      <c r="E30" s="28">
        <v>961610946</v>
      </c>
      <c r="F30" s="28"/>
    </row>
    <row r="31" spans="1:6" x14ac:dyDescent="0.2">
      <c r="A31" s="41" t="s">
        <v>111</v>
      </c>
      <c r="B31" s="41">
        <v>6</v>
      </c>
      <c r="C31" s="24" t="s">
        <v>699</v>
      </c>
      <c r="D31" s="41" t="s">
        <v>111</v>
      </c>
      <c r="E31" s="28">
        <v>7474000</v>
      </c>
      <c r="F31" s="28"/>
    </row>
    <row r="32" spans="1:6" x14ac:dyDescent="0.2">
      <c r="A32" s="41" t="s">
        <v>113</v>
      </c>
      <c r="B32" s="41">
        <v>6</v>
      </c>
      <c r="C32" s="24" t="s">
        <v>700</v>
      </c>
      <c r="D32" s="41" t="s">
        <v>113</v>
      </c>
      <c r="E32" s="28">
        <v>954136946</v>
      </c>
      <c r="F32" s="28"/>
    </row>
    <row r="33" spans="1:6" x14ac:dyDescent="0.2">
      <c r="A33" s="41" t="s">
        <v>115</v>
      </c>
      <c r="B33" s="41">
        <v>4</v>
      </c>
      <c r="C33" s="24" t="s">
        <v>116</v>
      </c>
      <c r="D33" s="41" t="s">
        <v>115</v>
      </c>
      <c r="E33" s="28">
        <v>462272046</v>
      </c>
      <c r="F33" s="28"/>
    </row>
    <row r="34" spans="1:6" x14ac:dyDescent="0.2">
      <c r="A34" s="41" t="s">
        <v>117</v>
      </c>
      <c r="B34" s="41">
        <v>6</v>
      </c>
      <c r="C34" s="24" t="s">
        <v>701</v>
      </c>
      <c r="D34" s="41" t="s">
        <v>117</v>
      </c>
      <c r="E34" s="28">
        <v>96746051</v>
      </c>
      <c r="F34" s="28"/>
    </row>
    <row r="35" spans="1:6" x14ac:dyDescent="0.2">
      <c r="A35" s="41" t="s">
        <v>119</v>
      </c>
      <c r="B35" s="41">
        <v>6</v>
      </c>
      <c r="C35" s="24" t="s">
        <v>702</v>
      </c>
      <c r="D35" s="41" t="s">
        <v>119</v>
      </c>
      <c r="E35" s="28">
        <v>365525995</v>
      </c>
      <c r="F35" s="28"/>
    </row>
    <row r="36" spans="1:6" x14ac:dyDescent="0.2">
      <c r="A36" s="41" t="s">
        <v>120</v>
      </c>
      <c r="B36" s="41">
        <v>4</v>
      </c>
      <c r="C36" s="24" t="s">
        <v>121</v>
      </c>
      <c r="D36" s="41" t="s">
        <v>120</v>
      </c>
      <c r="E36" s="28">
        <v>583954584</v>
      </c>
      <c r="F36" s="28"/>
    </row>
    <row r="37" spans="1:6" x14ac:dyDescent="0.2">
      <c r="A37" s="41" t="s">
        <v>122</v>
      </c>
      <c r="B37" s="41">
        <v>6</v>
      </c>
      <c r="C37" s="24" t="s">
        <v>703</v>
      </c>
      <c r="D37" s="41" t="s">
        <v>122</v>
      </c>
      <c r="E37" s="28">
        <v>583954584</v>
      </c>
      <c r="F37" s="28"/>
    </row>
    <row r="38" spans="1:6" x14ac:dyDescent="0.2">
      <c r="A38" s="41" t="s">
        <v>123</v>
      </c>
      <c r="B38" s="41">
        <v>4</v>
      </c>
      <c r="C38" s="24" t="s">
        <v>124</v>
      </c>
      <c r="D38" s="41" t="s">
        <v>123</v>
      </c>
      <c r="E38" s="28">
        <v>-12020431155</v>
      </c>
      <c r="F38" s="28"/>
    </row>
    <row r="39" spans="1:6" x14ac:dyDescent="0.2">
      <c r="A39" s="41" t="s">
        <v>125</v>
      </c>
      <c r="B39" s="41">
        <v>6</v>
      </c>
      <c r="C39" s="24" t="s">
        <v>703</v>
      </c>
      <c r="D39" s="41" t="s">
        <v>125</v>
      </c>
      <c r="E39" s="28">
        <v>-12020431155</v>
      </c>
      <c r="F39" s="28"/>
    </row>
    <row r="40" spans="1:6" x14ac:dyDescent="0.2">
      <c r="A40" s="41" t="s">
        <v>126</v>
      </c>
      <c r="B40" s="41">
        <v>2</v>
      </c>
      <c r="C40" s="24" t="s">
        <v>127</v>
      </c>
      <c r="D40" s="41" t="s">
        <v>126</v>
      </c>
      <c r="E40" s="28">
        <v>749712579</v>
      </c>
      <c r="F40" s="28"/>
    </row>
    <row r="41" spans="1:6" x14ac:dyDescent="0.2">
      <c r="A41" s="41" t="s">
        <v>128</v>
      </c>
      <c r="B41" s="41">
        <v>4</v>
      </c>
      <c r="C41" s="24" t="s">
        <v>129</v>
      </c>
      <c r="D41" s="41" t="s">
        <v>128</v>
      </c>
      <c r="E41" s="28">
        <v>804950342</v>
      </c>
      <c r="F41" s="28"/>
    </row>
    <row r="42" spans="1:6" x14ac:dyDescent="0.2">
      <c r="A42" s="41" t="s">
        <v>130</v>
      </c>
      <c r="B42" s="41">
        <v>6</v>
      </c>
      <c r="C42" s="24" t="s">
        <v>704</v>
      </c>
      <c r="D42" s="41" t="s">
        <v>130</v>
      </c>
      <c r="E42" s="28">
        <v>748318711</v>
      </c>
      <c r="F42" s="28"/>
    </row>
    <row r="43" spans="1:6" x14ac:dyDescent="0.2">
      <c r="A43" s="41" t="s">
        <v>132</v>
      </c>
      <c r="B43" s="41">
        <v>6</v>
      </c>
      <c r="C43" s="24" t="s">
        <v>705</v>
      </c>
      <c r="D43" s="41" t="s">
        <v>132</v>
      </c>
      <c r="E43" s="28">
        <v>56631631</v>
      </c>
      <c r="F43" s="28"/>
    </row>
    <row r="44" spans="1:6" x14ac:dyDescent="0.2">
      <c r="A44" s="41" t="s">
        <v>134</v>
      </c>
      <c r="B44" s="41">
        <v>4</v>
      </c>
      <c r="C44" s="24" t="s">
        <v>135</v>
      </c>
      <c r="D44" s="41" t="s">
        <v>134</v>
      </c>
      <c r="E44" s="28">
        <v>163730501</v>
      </c>
      <c r="F44" s="28"/>
    </row>
    <row r="45" spans="1:6" x14ac:dyDescent="0.2">
      <c r="A45" s="41" t="s">
        <v>136</v>
      </c>
      <c r="B45" s="41">
        <v>6</v>
      </c>
      <c r="C45" s="24" t="s">
        <v>706</v>
      </c>
      <c r="D45" s="41" t="s">
        <v>136</v>
      </c>
      <c r="E45" s="28">
        <v>63910229</v>
      </c>
      <c r="F45" s="28"/>
    </row>
    <row r="46" spans="1:6" x14ac:dyDescent="0.2">
      <c r="A46" s="41" t="s">
        <v>138</v>
      </c>
      <c r="B46" s="41">
        <v>6</v>
      </c>
      <c r="C46" s="24" t="s">
        <v>707</v>
      </c>
      <c r="D46" s="41" t="s">
        <v>138</v>
      </c>
      <c r="E46" s="28">
        <v>99820272</v>
      </c>
      <c r="F46" s="28"/>
    </row>
    <row r="47" spans="1:6" x14ac:dyDescent="0.2">
      <c r="A47" s="41" t="s">
        <v>140</v>
      </c>
      <c r="B47" s="41">
        <v>4</v>
      </c>
      <c r="C47" s="24" t="s">
        <v>141</v>
      </c>
      <c r="D47" s="41" t="s">
        <v>140</v>
      </c>
      <c r="E47" s="28">
        <v>13306587</v>
      </c>
      <c r="F47" s="28"/>
    </row>
    <row r="48" spans="1:6" x14ac:dyDescent="0.2">
      <c r="A48" s="41" t="s">
        <v>142</v>
      </c>
      <c r="B48" s="41">
        <v>6</v>
      </c>
      <c r="C48" s="24" t="s">
        <v>708</v>
      </c>
      <c r="D48" s="41" t="s">
        <v>142</v>
      </c>
      <c r="E48" s="28">
        <v>13306587</v>
      </c>
      <c r="F48" s="28"/>
    </row>
    <row r="49" spans="1:6" x14ac:dyDescent="0.2">
      <c r="A49" s="41" t="s">
        <v>144</v>
      </c>
      <c r="B49" s="41">
        <v>4</v>
      </c>
      <c r="C49" s="24" t="s">
        <v>145</v>
      </c>
      <c r="D49" s="41" t="s">
        <v>144</v>
      </c>
      <c r="E49" s="28">
        <v>-232274851</v>
      </c>
      <c r="F49" s="28"/>
    </row>
    <row r="50" spans="1:6" x14ac:dyDescent="0.2">
      <c r="A50" s="41" t="s">
        <v>146</v>
      </c>
      <c r="B50" s="41">
        <v>6</v>
      </c>
      <c r="C50" s="24" t="s">
        <v>709</v>
      </c>
      <c r="D50" s="41" t="s">
        <v>146</v>
      </c>
      <c r="E50" s="28">
        <v>-143907972</v>
      </c>
      <c r="F50" s="28"/>
    </row>
    <row r="51" spans="1:6" x14ac:dyDescent="0.2">
      <c r="A51" s="41" t="s">
        <v>147</v>
      </c>
      <c r="B51" s="41">
        <v>6</v>
      </c>
      <c r="C51" s="24" t="s">
        <v>710</v>
      </c>
      <c r="D51" s="41" t="s">
        <v>147</v>
      </c>
      <c r="E51" s="28">
        <v>-76718707</v>
      </c>
      <c r="F51" s="28"/>
    </row>
    <row r="52" spans="1:6" x14ac:dyDescent="0.2">
      <c r="A52" s="41" t="s">
        <v>148</v>
      </c>
      <c r="B52" s="41">
        <v>6</v>
      </c>
      <c r="C52" s="24" t="s">
        <v>711</v>
      </c>
      <c r="D52" s="41" t="s">
        <v>148</v>
      </c>
      <c r="E52" s="28">
        <v>-11648172</v>
      </c>
      <c r="F52" s="28"/>
    </row>
    <row r="53" spans="1:6" x14ac:dyDescent="0.2">
      <c r="A53" s="41" t="s">
        <v>149</v>
      </c>
      <c r="B53" s="41">
        <v>2</v>
      </c>
      <c r="C53" s="24" t="s">
        <v>150</v>
      </c>
      <c r="D53" s="41" t="s">
        <v>149</v>
      </c>
      <c r="E53" s="28">
        <v>21479798770</v>
      </c>
      <c r="F53" s="28"/>
    </row>
    <row r="54" spans="1:6" x14ac:dyDescent="0.2">
      <c r="A54" s="41" t="s">
        <v>151</v>
      </c>
      <c r="B54" s="41">
        <v>4</v>
      </c>
      <c r="C54" s="24" t="s">
        <v>152</v>
      </c>
      <c r="D54" s="41" t="s">
        <v>151</v>
      </c>
      <c r="E54" s="28">
        <v>43385273</v>
      </c>
      <c r="F54" s="28"/>
    </row>
    <row r="55" spans="1:6" x14ac:dyDescent="0.2">
      <c r="A55" s="41" t="s">
        <v>153</v>
      </c>
      <c r="B55" s="41">
        <v>6</v>
      </c>
      <c r="C55" s="24" t="s">
        <v>712</v>
      </c>
      <c r="D55" s="41" t="s">
        <v>153</v>
      </c>
      <c r="E55" s="28">
        <v>43385273</v>
      </c>
      <c r="F55" s="28"/>
    </row>
    <row r="56" spans="1:6" x14ac:dyDescent="0.2">
      <c r="A56" s="41" t="s">
        <v>164</v>
      </c>
      <c r="B56" s="41">
        <v>4</v>
      </c>
      <c r="C56" s="24" t="s">
        <v>165</v>
      </c>
      <c r="D56" s="41" t="s">
        <v>164</v>
      </c>
      <c r="E56" s="28">
        <v>332283274</v>
      </c>
      <c r="F56" s="28"/>
    </row>
    <row r="57" spans="1:6" x14ac:dyDescent="0.2">
      <c r="A57" s="41" t="s">
        <v>166</v>
      </c>
      <c r="B57" s="41">
        <v>6</v>
      </c>
      <c r="C57" s="24" t="s">
        <v>713</v>
      </c>
      <c r="D57" s="41" t="s">
        <v>166</v>
      </c>
      <c r="E57" s="28">
        <v>332283274</v>
      </c>
      <c r="F57" s="28"/>
    </row>
    <row r="58" spans="1:6" x14ac:dyDescent="0.2">
      <c r="A58" s="41" t="s">
        <v>168</v>
      </c>
      <c r="B58" s="41">
        <v>4</v>
      </c>
      <c r="C58" s="24" t="s">
        <v>169</v>
      </c>
      <c r="D58" s="41" t="s">
        <v>168</v>
      </c>
      <c r="E58" s="28">
        <v>22015742545</v>
      </c>
      <c r="F58" s="28"/>
    </row>
    <row r="59" spans="1:6" x14ac:dyDescent="0.2">
      <c r="A59" s="41" t="s">
        <v>172</v>
      </c>
      <c r="B59" s="41">
        <v>4</v>
      </c>
      <c r="C59" s="24" t="s">
        <v>173</v>
      </c>
      <c r="D59" s="41" t="s">
        <v>172</v>
      </c>
      <c r="E59" s="28">
        <v>-911612322</v>
      </c>
      <c r="F59" s="28"/>
    </row>
    <row r="60" spans="1:6" x14ac:dyDescent="0.2">
      <c r="A60" s="41" t="s">
        <v>174</v>
      </c>
      <c r="B60" s="41">
        <v>1</v>
      </c>
      <c r="C60" s="41" t="s">
        <v>175</v>
      </c>
      <c r="D60" s="41" t="s">
        <v>174</v>
      </c>
      <c r="E60" s="28">
        <v>-522189162208</v>
      </c>
      <c r="F60" s="28"/>
    </row>
    <row r="61" spans="1:6" x14ac:dyDescent="0.2">
      <c r="A61" s="41" t="s">
        <v>176</v>
      </c>
      <c r="B61" s="41">
        <v>2</v>
      </c>
      <c r="C61" s="24" t="s">
        <v>177</v>
      </c>
      <c r="D61" s="41" t="s">
        <v>176</v>
      </c>
      <c r="E61" s="28">
        <v>0</v>
      </c>
      <c r="F61" s="28"/>
    </row>
    <row r="62" spans="1:6" x14ac:dyDescent="0.2">
      <c r="A62" s="41" t="s">
        <v>182</v>
      </c>
      <c r="B62" s="41">
        <v>2</v>
      </c>
      <c r="C62" s="24" t="s">
        <v>183</v>
      </c>
      <c r="D62" s="41" t="s">
        <v>182</v>
      </c>
      <c r="E62" s="28">
        <v>-10640112451</v>
      </c>
      <c r="F62" s="28"/>
    </row>
    <row r="63" spans="1:6" x14ac:dyDescent="0.2">
      <c r="A63" s="41" t="s">
        <v>184</v>
      </c>
      <c r="B63" s="41">
        <v>4</v>
      </c>
      <c r="C63" s="24" t="s">
        <v>185</v>
      </c>
      <c r="D63" s="41" t="s">
        <v>184</v>
      </c>
      <c r="E63" s="28">
        <v>-925464709</v>
      </c>
      <c r="F63" s="28"/>
    </row>
    <row r="64" spans="1:6" x14ac:dyDescent="0.2">
      <c r="A64" s="41" t="s">
        <v>186</v>
      </c>
      <c r="B64" s="41">
        <v>6</v>
      </c>
      <c r="C64" s="24" t="s">
        <v>714</v>
      </c>
      <c r="D64" s="41" t="s">
        <v>186</v>
      </c>
      <c r="E64" s="28">
        <v>-925464709</v>
      </c>
      <c r="F64" s="28"/>
    </row>
    <row r="65" spans="1:6" x14ac:dyDescent="0.2">
      <c r="A65" s="41" t="s">
        <v>204</v>
      </c>
      <c r="B65" s="41">
        <v>4</v>
      </c>
      <c r="C65" s="24" t="s">
        <v>205</v>
      </c>
      <c r="D65" s="41" t="s">
        <v>204</v>
      </c>
      <c r="E65" s="28">
        <v>-7107690116</v>
      </c>
      <c r="F65" s="28"/>
    </row>
    <row r="66" spans="1:6" x14ac:dyDescent="0.2">
      <c r="A66" s="41" t="s">
        <v>206</v>
      </c>
      <c r="B66" s="41">
        <v>6</v>
      </c>
      <c r="C66" s="24" t="s">
        <v>715</v>
      </c>
      <c r="D66" s="41" t="s">
        <v>206</v>
      </c>
      <c r="E66" s="28">
        <v>-3375338</v>
      </c>
      <c r="F66" s="28"/>
    </row>
    <row r="67" spans="1:6" x14ac:dyDescent="0.2">
      <c r="A67" s="41" t="s">
        <v>208</v>
      </c>
      <c r="B67" s="41">
        <v>6</v>
      </c>
      <c r="C67" s="24" t="s">
        <v>716</v>
      </c>
      <c r="D67" s="41" t="s">
        <v>208</v>
      </c>
      <c r="E67" s="28">
        <v>-264415121</v>
      </c>
      <c r="F67" s="28"/>
    </row>
    <row r="68" spans="1:6" x14ac:dyDescent="0.2">
      <c r="A68" s="41" t="s">
        <v>210</v>
      </c>
      <c r="B68" s="41">
        <v>6</v>
      </c>
      <c r="C68" s="24" t="s">
        <v>717</v>
      </c>
      <c r="D68" s="41" t="s">
        <v>210</v>
      </c>
      <c r="E68" s="28">
        <v>-920868</v>
      </c>
      <c r="F68" s="28"/>
    </row>
    <row r="69" spans="1:6" x14ac:dyDescent="0.2">
      <c r="A69" s="41" t="s">
        <v>718</v>
      </c>
      <c r="B69" s="41">
        <v>6</v>
      </c>
      <c r="C69" s="24" t="s">
        <v>712</v>
      </c>
      <c r="D69" s="41" t="s">
        <v>718</v>
      </c>
      <c r="E69" s="28">
        <v>0</v>
      </c>
      <c r="F69" s="28"/>
    </row>
    <row r="70" spans="1:6" x14ac:dyDescent="0.2">
      <c r="A70" s="41" t="s">
        <v>212</v>
      </c>
      <c r="B70" s="41">
        <v>6</v>
      </c>
      <c r="C70" s="24" t="s">
        <v>719</v>
      </c>
      <c r="D70" s="41" t="s">
        <v>212</v>
      </c>
      <c r="E70" s="28">
        <v>-143770709</v>
      </c>
      <c r="F70" s="28"/>
    </row>
    <row r="71" spans="1:6" x14ac:dyDescent="0.2">
      <c r="A71" s="41" t="s">
        <v>213</v>
      </c>
      <c r="B71" s="41">
        <v>6</v>
      </c>
      <c r="C71" s="24" t="s">
        <v>720</v>
      </c>
      <c r="D71" s="41" t="s">
        <v>213</v>
      </c>
      <c r="E71" s="28">
        <v>-112616219</v>
      </c>
      <c r="F71" s="28"/>
    </row>
    <row r="72" spans="1:6" x14ac:dyDescent="0.2">
      <c r="A72" s="41" t="s">
        <v>214</v>
      </c>
      <c r="B72" s="41">
        <v>6</v>
      </c>
      <c r="C72" s="24" t="s">
        <v>721</v>
      </c>
      <c r="D72" s="41" t="s">
        <v>214</v>
      </c>
      <c r="E72" s="28">
        <v>-77001200</v>
      </c>
      <c r="F72" s="28"/>
    </row>
    <row r="73" spans="1:6" x14ac:dyDescent="0.2">
      <c r="A73" s="41" t="s">
        <v>216</v>
      </c>
      <c r="B73" s="41">
        <v>6</v>
      </c>
      <c r="C73" s="24" t="s">
        <v>722</v>
      </c>
      <c r="D73" s="41" t="s">
        <v>216</v>
      </c>
      <c r="E73" s="28">
        <v>-14787837</v>
      </c>
      <c r="F73" s="28"/>
    </row>
    <row r="74" spans="1:6" x14ac:dyDescent="0.2">
      <c r="A74" s="41" t="s">
        <v>218</v>
      </c>
      <c r="B74" s="41">
        <v>6</v>
      </c>
      <c r="C74" s="24" t="s">
        <v>723</v>
      </c>
      <c r="D74" s="41" t="s">
        <v>218</v>
      </c>
      <c r="E74" s="28">
        <v>-6261652</v>
      </c>
      <c r="F74" s="28"/>
    </row>
    <row r="75" spans="1:6" x14ac:dyDescent="0.2">
      <c r="A75" s="41" t="s">
        <v>724</v>
      </c>
      <c r="B75" s="41">
        <v>6</v>
      </c>
      <c r="C75" s="24" t="s">
        <v>725</v>
      </c>
      <c r="D75" s="41" t="s">
        <v>724</v>
      </c>
      <c r="E75" s="28">
        <v>0</v>
      </c>
      <c r="F75" s="28"/>
    </row>
    <row r="76" spans="1:6" x14ac:dyDescent="0.2">
      <c r="A76" s="41" t="s">
        <v>219</v>
      </c>
      <c r="B76" s="41">
        <v>6</v>
      </c>
      <c r="C76" s="24" t="s">
        <v>726</v>
      </c>
      <c r="D76" s="41" t="s">
        <v>219</v>
      </c>
      <c r="E76" s="28">
        <v>-12606890</v>
      </c>
      <c r="F76" s="28"/>
    </row>
    <row r="77" spans="1:6" x14ac:dyDescent="0.2">
      <c r="A77" s="41" t="s">
        <v>221</v>
      </c>
      <c r="B77" s="41">
        <v>6</v>
      </c>
      <c r="C77" s="24" t="s">
        <v>727</v>
      </c>
      <c r="D77" s="41" t="s">
        <v>221</v>
      </c>
      <c r="E77" s="28">
        <v>-4632254</v>
      </c>
      <c r="F77" s="28"/>
    </row>
    <row r="78" spans="1:6" x14ac:dyDescent="0.2">
      <c r="A78" s="41" t="s">
        <v>728</v>
      </c>
      <c r="B78" s="41">
        <v>6</v>
      </c>
      <c r="C78" s="24" t="s">
        <v>729</v>
      </c>
      <c r="D78" s="41" t="s">
        <v>728</v>
      </c>
      <c r="E78" s="28">
        <v>0</v>
      </c>
    </row>
    <row r="79" spans="1:6" x14ac:dyDescent="0.2">
      <c r="A79" s="41" t="s">
        <v>222</v>
      </c>
      <c r="B79" s="41">
        <v>6</v>
      </c>
      <c r="C79" s="24" t="s">
        <v>730</v>
      </c>
      <c r="D79" s="41" t="s">
        <v>222</v>
      </c>
      <c r="E79" s="28">
        <v>-5236067980</v>
      </c>
      <c r="F79" s="28"/>
    </row>
    <row r="80" spans="1:6" x14ac:dyDescent="0.2">
      <c r="A80" s="41" t="s">
        <v>224</v>
      </c>
      <c r="B80" s="41">
        <v>6</v>
      </c>
      <c r="C80" s="24" t="s">
        <v>14</v>
      </c>
      <c r="D80" s="41" t="s">
        <v>224</v>
      </c>
      <c r="E80" s="28">
        <v>-645358860</v>
      </c>
      <c r="F80" s="28"/>
    </row>
    <row r="81" spans="1:6" x14ac:dyDescent="0.2">
      <c r="A81" s="41" t="s">
        <v>226</v>
      </c>
      <c r="B81" s="41">
        <v>6</v>
      </c>
      <c r="C81" s="24" t="s">
        <v>731</v>
      </c>
      <c r="D81" s="41" t="s">
        <v>226</v>
      </c>
      <c r="E81" s="28">
        <v>-585875188</v>
      </c>
      <c r="F81" s="28"/>
    </row>
    <row r="82" spans="1:6" x14ac:dyDescent="0.2">
      <c r="A82" s="41" t="s">
        <v>228</v>
      </c>
      <c r="B82" s="41">
        <v>4</v>
      </c>
      <c r="C82" s="24" t="s">
        <v>229</v>
      </c>
      <c r="D82" s="41" t="s">
        <v>228</v>
      </c>
      <c r="E82" s="28">
        <v>-1446776603</v>
      </c>
      <c r="F82" s="28"/>
    </row>
    <row r="83" spans="1:6" x14ac:dyDescent="0.2">
      <c r="A83" s="41" t="s">
        <v>230</v>
      </c>
      <c r="B83" s="41">
        <v>6</v>
      </c>
      <c r="C83" s="24" t="s">
        <v>730</v>
      </c>
      <c r="D83" s="41" t="s">
        <v>230</v>
      </c>
      <c r="E83" s="28">
        <v>-1118475144</v>
      </c>
      <c r="F83" s="28"/>
    </row>
    <row r="84" spans="1:6" x14ac:dyDescent="0.2">
      <c r="A84" s="41" t="s">
        <v>231</v>
      </c>
      <c r="B84" s="41">
        <v>6</v>
      </c>
      <c r="C84" s="24" t="s">
        <v>729</v>
      </c>
      <c r="D84" s="41" t="s">
        <v>231</v>
      </c>
      <c r="E84" s="28">
        <v>0</v>
      </c>
      <c r="F84" s="28"/>
    </row>
    <row r="85" spans="1:6" x14ac:dyDescent="0.2">
      <c r="A85" s="41" t="s">
        <v>233</v>
      </c>
      <c r="B85" s="41">
        <v>6</v>
      </c>
      <c r="C85" s="24" t="s">
        <v>14</v>
      </c>
      <c r="D85" s="41" t="s">
        <v>233</v>
      </c>
      <c r="E85" s="28">
        <v>-236155270</v>
      </c>
      <c r="F85" s="28"/>
    </row>
    <row r="86" spans="1:6" x14ac:dyDescent="0.2">
      <c r="A86" s="41" t="s">
        <v>234</v>
      </c>
      <c r="B86" s="41">
        <v>6</v>
      </c>
      <c r="C86" s="24" t="s">
        <v>716</v>
      </c>
      <c r="D86" s="41" t="s">
        <v>234</v>
      </c>
      <c r="E86" s="28">
        <v>-8384390</v>
      </c>
      <c r="F86" s="28"/>
    </row>
    <row r="87" spans="1:6" x14ac:dyDescent="0.2">
      <c r="A87" s="41" t="s">
        <v>235</v>
      </c>
      <c r="B87" s="41">
        <v>6</v>
      </c>
      <c r="C87" s="24" t="s">
        <v>732</v>
      </c>
      <c r="D87" s="41" t="s">
        <v>235</v>
      </c>
      <c r="E87" s="28">
        <v>-12064068</v>
      </c>
      <c r="F87" s="28"/>
    </row>
    <row r="88" spans="1:6" x14ac:dyDescent="0.2">
      <c r="A88" s="41" t="s">
        <v>237</v>
      </c>
      <c r="B88" s="41">
        <v>6</v>
      </c>
      <c r="C88" s="24" t="s">
        <v>733</v>
      </c>
      <c r="D88" s="41" t="s">
        <v>237</v>
      </c>
      <c r="E88" s="28">
        <v>-36965747</v>
      </c>
      <c r="F88" s="28"/>
    </row>
    <row r="89" spans="1:6" x14ac:dyDescent="0.2">
      <c r="A89" s="41" t="s">
        <v>239</v>
      </c>
      <c r="B89" s="41">
        <v>6</v>
      </c>
      <c r="C89" s="24" t="s">
        <v>734</v>
      </c>
      <c r="D89" s="41" t="s">
        <v>239</v>
      </c>
      <c r="E89" s="28">
        <v>-29888443</v>
      </c>
      <c r="F89" s="28"/>
    </row>
    <row r="90" spans="1:6" x14ac:dyDescent="0.2">
      <c r="A90" s="41" t="s">
        <v>241</v>
      </c>
      <c r="B90" s="41">
        <v>6</v>
      </c>
      <c r="C90" s="24" t="s">
        <v>735</v>
      </c>
      <c r="D90" s="41" t="s">
        <v>241</v>
      </c>
      <c r="E90" s="28">
        <v>-4843541</v>
      </c>
      <c r="F90" s="28"/>
    </row>
    <row r="91" spans="1:6" x14ac:dyDescent="0.2">
      <c r="A91" s="41" t="s">
        <v>670</v>
      </c>
      <c r="B91" s="41">
        <v>4</v>
      </c>
      <c r="C91" s="24" t="s">
        <v>671</v>
      </c>
      <c r="D91" s="41" t="s">
        <v>670</v>
      </c>
      <c r="E91" s="28">
        <v>0</v>
      </c>
      <c r="F91" s="28"/>
    </row>
    <row r="92" spans="1:6" x14ac:dyDescent="0.2">
      <c r="A92" s="41" t="s">
        <v>738</v>
      </c>
      <c r="B92" s="41">
        <v>6</v>
      </c>
      <c r="C92" s="24" t="s">
        <v>739</v>
      </c>
      <c r="D92" s="41" t="s">
        <v>738</v>
      </c>
      <c r="E92" s="28">
        <v>0</v>
      </c>
      <c r="F92" s="28"/>
    </row>
    <row r="93" spans="1:6" x14ac:dyDescent="0.2">
      <c r="A93" s="41" t="s">
        <v>243</v>
      </c>
      <c r="B93" s="41">
        <v>4</v>
      </c>
      <c r="C93" s="24" t="s">
        <v>244</v>
      </c>
      <c r="D93" s="41" t="s">
        <v>243</v>
      </c>
      <c r="E93" s="28">
        <v>-111834861</v>
      </c>
      <c r="F93" s="28"/>
    </row>
    <row r="94" spans="1:6" x14ac:dyDescent="0.2">
      <c r="A94" s="41" t="s">
        <v>245</v>
      </c>
      <c r="B94" s="41">
        <v>6</v>
      </c>
      <c r="C94" s="24" t="s">
        <v>740</v>
      </c>
      <c r="D94" s="41" t="s">
        <v>245</v>
      </c>
      <c r="E94" s="28">
        <v>-111834861</v>
      </c>
      <c r="F94" s="28"/>
    </row>
    <row r="95" spans="1:6" x14ac:dyDescent="0.2">
      <c r="A95" s="41" t="s">
        <v>247</v>
      </c>
      <c r="B95" s="41">
        <v>4</v>
      </c>
      <c r="C95" s="24" t="s">
        <v>248</v>
      </c>
      <c r="D95" s="41" t="s">
        <v>247</v>
      </c>
      <c r="E95" s="28">
        <v>-1048346162</v>
      </c>
      <c r="F95" s="28"/>
    </row>
    <row r="96" spans="1:6" x14ac:dyDescent="0.2">
      <c r="A96" s="41" t="s">
        <v>249</v>
      </c>
      <c r="B96" s="41">
        <v>6</v>
      </c>
      <c r="C96" s="24" t="s">
        <v>741</v>
      </c>
      <c r="D96" s="41" t="s">
        <v>249</v>
      </c>
      <c r="E96" s="28">
        <v>-1043086367</v>
      </c>
      <c r="F96" s="28"/>
    </row>
    <row r="97" spans="1:6" x14ac:dyDescent="0.2">
      <c r="A97" s="41" t="s">
        <v>742</v>
      </c>
      <c r="B97" s="41">
        <v>6</v>
      </c>
      <c r="C97" s="24" t="s">
        <v>743</v>
      </c>
      <c r="D97" s="41" t="s">
        <v>742</v>
      </c>
      <c r="E97" s="28">
        <v>0</v>
      </c>
      <c r="F97" s="28"/>
    </row>
    <row r="98" spans="1:6" x14ac:dyDescent="0.2">
      <c r="A98" s="41" t="s">
        <v>251</v>
      </c>
      <c r="B98" s="41">
        <v>6</v>
      </c>
      <c r="C98" s="24" t="s">
        <v>744</v>
      </c>
      <c r="D98" s="41" t="s">
        <v>251</v>
      </c>
      <c r="E98" s="28">
        <v>-5259795</v>
      </c>
      <c r="F98" s="28"/>
    </row>
    <row r="99" spans="1:6" x14ac:dyDescent="0.2">
      <c r="A99" s="41" t="s">
        <v>285</v>
      </c>
      <c r="B99" s="41">
        <v>2</v>
      </c>
      <c r="C99" s="24" t="s">
        <v>286</v>
      </c>
      <c r="D99" s="41" t="s">
        <v>285</v>
      </c>
      <c r="E99" s="28">
        <v>-369057052400</v>
      </c>
      <c r="F99" s="28"/>
    </row>
    <row r="100" spans="1:6" x14ac:dyDescent="0.2">
      <c r="A100" s="41" t="s">
        <v>287</v>
      </c>
      <c r="B100" s="41">
        <v>4</v>
      </c>
      <c r="C100" s="24" t="s">
        <v>288</v>
      </c>
      <c r="D100" s="41" t="s">
        <v>287</v>
      </c>
      <c r="E100" s="28">
        <v>-1168712162</v>
      </c>
      <c r="F100" s="28"/>
    </row>
    <row r="101" spans="1:6" x14ac:dyDescent="0.2">
      <c r="A101" s="41" t="s">
        <v>289</v>
      </c>
      <c r="B101" s="41">
        <v>6</v>
      </c>
      <c r="C101" s="24" t="s">
        <v>745</v>
      </c>
      <c r="D101" s="41" t="s">
        <v>289</v>
      </c>
      <c r="E101" s="28">
        <v>-10164577</v>
      </c>
      <c r="F101" s="28"/>
    </row>
    <row r="102" spans="1:6" x14ac:dyDescent="0.2">
      <c r="A102" s="41" t="s">
        <v>291</v>
      </c>
      <c r="B102" s="41">
        <v>6</v>
      </c>
      <c r="C102" s="24" t="s">
        <v>746</v>
      </c>
      <c r="D102" s="41" t="s">
        <v>291</v>
      </c>
      <c r="E102" s="28">
        <v>-724335879</v>
      </c>
      <c r="F102" s="28"/>
    </row>
    <row r="103" spans="1:6" x14ac:dyDescent="0.2">
      <c r="A103" s="41" t="s">
        <v>293</v>
      </c>
      <c r="B103" s="41">
        <v>6</v>
      </c>
      <c r="C103" s="24" t="s">
        <v>747</v>
      </c>
      <c r="D103" s="41" t="s">
        <v>293</v>
      </c>
      <c r="E103" s="28">
        <v>-83620152</v>
      </c>
      <c r="F103" s="28"/>
    </row>
    <row r="104" spans="1:6" x14ac:dyDescent="0.2">
      <c r="A104" s="41" t="s">
        <v>295</v>
      </c>
      <c r="B104" s="41">
        <v>6</v>
      </c>
      <c r="C104" s="24" t="s">
        <v>748</v>
      </c>
      <c r="D104" s="41" t="s">
        <v>295</v>
      </c>
      <c r="E104" s="28">
        <v>-350591554</v>
      </c>
      <c r="F104" s="28"/>
    </row>
    <row r="105" spans="1:6" x14ac:dyDescent="0.2">
      <c r="A105" s="41" t="s">
        <v>297</v>
      </c>
      <c r="B105" s="41">
        <v>6</v>
      </c>
      <c r="C105" s="24" t="s">
        <v>749</v>
      </c>
      <c r="D105" s="41" t="s">
        <v>297</v>
      </c>
      <c r="E105" s="28">
        <v>0</v>
      </c>
      <c r="F105" s="28"/>
    </row>
    <row r="106" spans="1:6" x14ac:dyDescent="0.2">
      <c r="A106" s="41" t="s">
        <v>317</v>
      </c>
      <c r="B106" s="41">
        <v>4</v>
      </c>
      <c r="C106" s="24" t="s">
        <v>256</v>
      </c>
      <c r="D106" s="41" t="s">
        <v>317</v>
      </c>
      <c r="E106" s="28">
        <v>-367888340238</v>
      </c>
      <c r="F106" s="28"/>
    </row>
    <row r="107" spans="1:6" x14ac:dyDescent="0.2">
      <c r="A107" s="41" t="s">
        <v>318</v>
      </c>
      <c r="B107" s="41">
        <v>6</v>
      </c>
      <c r="C107" s="44" t="s">
        <v>750</v>
      </c>
      <c r="D107" s="41" t="s">
        <v>318</v>
      </c>
      <c r="E107" s="28">
        <v>-3251342508</v>
      </c>
    </row>
    <row r="108" spans="1:6" x14ac:dyDescent="0.2">
      <c r="A108" s="41" t="s">
        <v>319</v>
      </c>
      <c r="B108" s="41">
        <v>6</v>
      </c>
      <c r="C108" s="24" t="s">
        <v>751</v>
      </c>
      <c r="D108" s="41" t="s">
        <v>319</v>
      </c>
      <c r="E108" s="28">
        <v>-118146859</v>
      </c>
    </row>
    <row r="109" spans="1:6" x14ac:dyDescent="0.2">
      <c r="A109" s="41" t="s">
        <v>320</v>
      </c>
      <c r="B109" s="41">
        <v>6</v>
      </c>
      <c r="C109" s="24" t="s">
        <v>752</v>
      </c>
      <c r="D109" s="41" t="s">
        <v>320</v>
      </c>
      <c r="E109" s="28">
        <v>-797745852</v>
      </c>
    </row>
    <row r="110" spans="1:6" x14ac:dyDescent="0.2">
      <c r="A110" s="41" t="s">
        <v>321</v>
      </c>
      <c r="B110" s="41">
        <v>6</v>
      </c>
      <c r="C110" s="24" t="s">
        <v>753</v>
      </c>
      <c r="D110" s="41" t="s">
        <v>321</v>
      </c>
      <c r="E110" s="28">
        <v>-351026475532</v>
      </c>
    </row>
    <row r="111" spans="1:6" x14ac:dyDescent="0.2">
      <c r="A111" s="41" t="s">
        <v>323</v>
      </c>
      <c r="B111" s="41">
        <v>6</v>
      </c>
      <c r="C111" s="44" t="s">
        <v>754</v>
      </c>
      <c r="D111" s="41" t="s">
        <v>323</v>
      </c>
      <c r="E111" s="28">
        <v>-12667703689</v>
      </c>
    </row>
    <row r="112" spans="1:6" x14ac:dyDescent="0.2">
      <c r="A112" s="41" t="s">
        <v>324</v>
      </c>
      <c r="B112" s="41">
        <v>6</v>
      </c>
      <c r="C112" s="44" t="s">
        <v>755</v>
      </c>
      <c r="D112" s="41" t="s">
        <v>324</v>
      </c>
      <c r="E112" s="28">
        <v>-26925798</v>
      </c>
    </row>
    <row r="113" spans="1:6" x14ac:dyDescent="0.2">
      <c r="A113" s="41" t="s">
        <v>325</v>
      </c>
      <c r="B113" s="41">
        <v>2</v>
      </c>
      <c r="C113" s="24" t="s">
        <v>326</v>
      </c>
      <c r="D113" s="41" t="s">
        <v>325</v>
      </c>
      <c r="E113" s="28">
        <v>-142491997357</v>
      </c>
    </row>
    <row r="114" spans="1:6" x14ac:dyDescent="0.2">
      <c r="A114" s="41" t="s">
        <v>331</v>
      </c>
      <c r="B114" s="41">
        <v>4</v>
      </c>
      <c r="C114" s="24" t="s">
        <v>332</v>
      </c>
      <c r="D114" s="41" t="s">
        <v>331</v>
      </c>
      <c r="E114" s="28">
        <v>-15675979</v>
      </c>
    </row>
    <row r="115" spans="1:6" x14ac:dyDescent="0.2">
      <c r="A115" s="41" t="s">
        <v>333</v>
      </c>
      <c r="B115" s="41">
        <v>6</v>
      </c>
      <c r="C115" s="24" t="s">
        <v>756</v>
      </c>
      <c r="D115" s="41" t="s">
        <v>333</v>
      </c>
      <c r="E115" s="28">
        <v>-7975979</v>
      </c>
    </row>
    <row r="116" spans="1:6" x14ac:dyDescent="0.2">
      <c r="A116" s="41" t="s">
        <v>335</v>
      </c>
      <c r="B116" s="41">
        <v>6</v>
      </c>
      <c r="C116" s="24" t="s">
        <v>757</v>
      </c>
      <c r="D116" s="41" t="s">
        <v>335</v>
      </c>
      <c r="E116" s="28">
        <v>-7700000</v>
      </c>
    </row>
    <row r="117" spans="1:6" x14ac:dyDescent="0.2">
      <c r="A117" s="41" t="s">
        <v>672</v>
      </c>
      <c r="B117" s="41">
        <v>4</v>
      </c>
      <c r="C117" s="24" t="s">
        <v>673</v>
      </c>
      <c r="D117" s="41" t="s">
        <v>672</v>
      </c>
      <c r="E117" s="28">
        <v>0</v>
      </c>
    </row>
    <row r="118" spans="1:6" x14ac:dyDescent="0.2">
      <c r="A118" s="41" t="s">
        <v>758</v>
      </c>
      <c r="B118" s="41">
        <v>6</v>
      </c>
      <c r="C118" s="24" t="s">
        <v>746</v>
      </c>
      <c r="D118" s="41" t="s">
        <v>758</v>
      </c>
      <c r="E118" s="28">
        <v>0</v>
      </c>
    </row>
    <row r="119" spans="1:6" x14ac:dyDescent="0.2">
      <c r="A119" s="41" t="s">
        <v>759</v>
      </c>
      <c r="B119" s="41">
        <v>6</v>
      </c>
      <c r="C119" s="24" t="s">
        <v>747</v>
      </c>
      <c r="D119" s="41" t="s">
        <v>759</v>
      </c>
      <c r="E119" s="28">
        <v>0</v>
      </c>
    </row>
    <row r="120" spans="1:6" x14ac:dyDescent="0.2">
      <c r="A120" s="41" t="s">
        <v>760</v>
      </c>
      <c r="B120" s="41">
        <v>6</v>
      </c>
      <c r="C120" s="24" t="s">
        <v>748</v>
      </c>
      <c r="D120" s="41" t="s">
        <v>760</v>
      </c>
      <c r="E120" s="28">
        <v>0</v>
      </c>
    </row>
    <row r="121" spans="1:6" x14ac:dyDescent="0.2">
      <c r="A121" s="41" t="s">
        <v>761</v>
      </c>
      <c r="B121" s="41">
        <v>6</v>
      </c>
      <c r="C121" s="24" t="s">
        <v>762</v>
      </c>
      <c r="D121" s="41" t="s">
        <v>761</v>
      </c>
      <c r="E121" s="28">
        <v>0</v>
      </c>
    </row>
    <row r="122" spans="1:6" x14ac:dyDescent="0.2">
      <c r="A122" s="41" t="s">
        <v>337</v>
      </c>
      <c r="B122" s="41">
        <v>4</v>
      </c>
      <c r="C122" s="24" t="s">
        <v>338</v>
      </c>
      <c r="D122" s="41" t="s">
        <v>337</v>
      </c>
      <c r="E122" s="28">
        <v>-142476321378</v>
      </c>
      <c r="F122" s="28"/>
    </row>
    <row r="123" spans="1:6" x14ac:dyDescent="0.2">
      <c r="A123" s="41" t="s">
        <v>339</v>
      </c>
      <c r="B123" s="41">
        <v>6</v>
      </c>
      <c r="C123" s="24" t="s">
        <v>763</v>
      </c>
      <c r="D123" s="41" t="s">
        <v>339</v>
      </c>
      <c r="E123" s="28">
        <v>-21916462</v>
      </c>
      <c r="F123" s="28"/>
    </row>
    <row r="124" spans="1:6" x14ac:dyDescent="0.2">
      <c r="A124" s="41" t="s">
        <v>340</v>
      </c>
      <c r="B124" s="41">
        <v>6</v>
      </c>
      <c r="C124" s="24" t="s">
        <v>764</v>
      </c>
      <c r="D124" s="41" t="s">
        <v>340</v>
      </c>
      <c r="E124" s="28">
        <v>-130404668455</v>
      </c>
      <c r="F124" s="28"/>
    </row>
    <row r="125" spans="1:6" x14ac:dyDescent="0.2">
      <c r="A125" s="41" t="s">
        <v>342</v>
      </c>
      <c r="B125" s="41">
        <v>6</v>
      </c>
      <c r="C125" s="24" t="s">
        <v>765</v>
      </c>
      <c r="D125" s="41" t="s">
        <v>342</v>
      </c>
      <c r="E125" s="28">
        <v>-10514955247</v>
      </c>
      <c r="F125" s="28"/>
    </row>
    <row r="126" spans="1:6" x14ac:dyDescent="0.2">
      <c r="A126" s="41" t="s">
        <v>344</v>
      </c>
      <c r="B126" s="41">
        <v>6</v>
      </c>
      <c r="C126" s="45" t="s">
        <v>766</v>
      </c>
      <c r="D126" s="41" t="s">
        <v>344</v>
      </c>
      <c r="E126" s="28">
        <v>-1346513214</v>
      </c>
      <c r="F126" s="28"/>
    </row>
    <row r="127" spans="1:6" x14ac:dyDescent="0.2">
      <c r="A127" s="41" t="s">
        <v>346</v>
      </c>
      <c r="B127" s="41">
        <v>6</v>
      </c>
      <c r="C127" s="24" t="s">
        <v>347</v>
      </c>
      <c r="D127" s="41" t="s">
        <v>346</v>
      </c>
      <c r="E127" s="28">
        <v>-188268000</v>
      </c>
      <c r="F127" s="28"/>
    </row>
    <row r="128" spans="1:6" x14ac:dyDescent="0.2">
      <c r="A128" s="41" t="s">
        <v>348</v>
      </c>
      <c r="B128" s="41">
        <v>2</v>
      </c>
      <c r="C128" s="24" t="s">
        <v>349</v>
      </c>
      <c r="D128" s="41" t="s">
        <v>348</v>
      </c>
      <c r="E128" s="28">
        <v>0</v>
      </c>
      <c r="F128" s="28"/>
    </row>
    <row r="129" spans="1:6" x14ac:dyDescent="0.2">
      <c r="A129" s="41" t="s">
        <v>674</v>
      </c>
      <c r="B129" s="41">
        <v>4</v>
      </c>
      <c r="C129" s="24" t="s">
        <v>675</v>
      </c>
      <c r="D129" s="41" t="s">
        <v>674</v>
      </c>
      <c r="E129" s="28">
        <v>0</v>
      </c>
      <c r="F129" s="28"/>
    </row>
    <row r="130" spans="1:6" x14ac:dyDescent="0.2">
      <c r="A130" s="41" t="s">
        <v>767</v>
      </c>
      <c r="B130" s="41">
        <v>6</v>
      </c>
      <c r="C130" s="24" t="s">
        <v>768</v>
      </c>
      <c r="D130" s="41" t="s">
        <v>767</v>
      </c>
      <c r="E130" s="28">
        <v>0</v>
      </c>
      <c r="F130" s="28"/>
    </row>
    <row r="131" spans="1:6" x14ac:dyDescent="0.2">
      <c r="A131" s="41" t="s">
        <v>352</v>
      </c>
      <c r="B131" s="41">
        <v>1</v>
      </c>
      <c r="C131" s="41" t="s">
        <v>353</v>
      </c>
      <c r="D131" s="41" t="s">
        <v>352</v>
      </c>
      <c r="E131" s="28">
        <v>169498417215</v>
      </c>
    </row>
    <row r="132" spans="1:6" x14ac:dyDescent="0.2">
      <c r="A132" s="41" t="s">
        <v>354</v>
      </c>
      <c r="B132" s="41">
        <v>2</v>
      </c>
      <c r="C132" s="24" t="s">
        <v>355</v>
      </c>
      <c r="D132" s="41" t="s">
        <v>354</v>
      </c>
      <c r="E132" s="28">
        <v>169498417215</v>
      </c>
    </row>
    <row r="133" spans="1:6" x14ac:dyDescent="0.2">
      <c r="A133" s="41" t="s">
        <v>356</v>
      </c>
      <c r="B133" s="41">
        <v>4</v>
      </c>
      <c r="C133" s="24" t="s">
        <v>357</v>
      </c>
      <c r="D133" s="41" t="s">
        <v>356</v>
      </c>
      <c r="E133" s="28">
        <v>-81852000000</v>
      </c>
      <c r="F133" s="28"/>
    </row>
    <row r="134" spans="1:6" x14ac:dyDescent="0.2">
      <c r="A134" s="41" t="s">
        <v>358</v>
      </c>
      <c r="B134" s="41">
        <v>6</v>
      </c>
      <c r="C134" s="24" t="s">
        <v>769</v>
      </c>
      <c r="D134" s="41" t="s">
        <v>358</v>
      </c>
      <c r="E134" s="28">
        <v>-81852000000</v>
      </c>
      <c r="F134" s="28"/>
    </row>
    <row r="135" spans="1:6" x14ac:dyDescent="0.2">
      <c r="A135" s="41" t="s">
        <v>770</v>
      </c>
      <c r="B135" s="41">
        <v>6</v>
      </c>
      <c r="C135" s="24" t="s">
        <v>771</v>
      </c>
      <c r="D135" s="41" t="s">
        <v>770</v>
      </c>
      <c r="E135" s="28">
        <v>0</v>
      </c>
      <c r="F135" s="28"/>
    </row>
    <row r="136" spans="1:6" x14ac:dyDescent="0.2">
      <c r="A136" s="41" t="s">
        <v>362</v>
      </c>
      <c r="B136" s="41">
        <v>4</v>
      </c>
      <c r="C136" s="24" t="s">
        <v>363</v>
      </c>
      <c r="D136" s="41" t="s">
        <v>362</v>
      </c>
      <c r="E136" s="28">
        <v>251350417215</v>
      </c>
      <c r="F136" s="28"/>
    </row>
    <row r="137" spans="1:6" x14ac:dyDescent="0.2">
      <c r="A137" s="41" t="s">
        <v>364</v>
      </c>
      <c r="B137" s="41">
        <v>6</v>
      </c>
      <c r="C137" s="24" t="s">
        <v>772</v>
      </c>
      <c r="D137" s="41" t="s">
        <v>364</v>
      </c>
      <c r="E137" s="28">
        <v>251350417215</v>
      </c>
      <c r="F137" s="28"/>
    </row>
    <row r="138" spans="1:6" x14ac:dyDescent="0.2">
      <c r="A138" s="41" t="s">
        <v>373</v>
      </c>
      <c r="B138" s="41">
        <v>1</v>
      </c>
      <c r="C138" s="41" t="s">
        <v>668</v>
      </c>
      <c r="D138" s="41" t="s">
        <v>373</v>
      </c>
      <c r="E138" s="28">
        <v>-1397066924268</v>
      </c>
      <c r="F138" s="28"/>
    </row>
    <row r="139" spans="1:6" x14ac:dyDescent="0.2">
      <c r="A139" s="41" t="s">
        <v>375</v>
      </c>
      <c r="B139" s="41">
        <v>2</v>
      </c>
      <c r="C139" s="24" t="s">
        <v>376</v>
      </c>
      <c r="D139" s="41" t="s">
        <v>375</v>
      </c>
      <c r="E139" s="28">
        <v>-1349953464576</v>
      </c>
      <c r="F139" s="28"/>
    </row>
    <row r="140" spans="1:6" x14ac:dyDescent="0.2">
      <c r="A140" s="41" t="s">
        <v>377</v>
      </c>
      <c r="B140" s="41">
        <v>4</v>
      </c>
      <c r="C140" s="24" t="s">
        <v>378</v>
      </c>
      <c r="D140" s="41" t="s">
        <v>377</v>
      </c>
      <c r="E140" s="28">
        <v>-1349953464576</v>
      </c>
      <c r="F140" s="28"/>
    </row>
    <row r="141" spans="1:6" x14ac:dyDescent="0.2">
      <c r="A141" s="41" t="s">
        <v>379</v>
      </c>
      <c r="B141" s="41">
        <v>6</v>
      </c>
      <c r="C141" s="24" t="s">
        <v>773</v>
      </c>
      <c r="D141" s="41" t="s">
        <v>379</v>
      </c>
      <c r="E141" s="28">
        <v>-27240918906</v>
      </c>
      <c r="F141" s="28"/>
    </row>
    <row r="142" spans="1:6" x14ac:dyDescent="0.2">
      <c r="A142" s="41" t="s">
        <v>383</v>
      </c>
      <c r="B142" s="41">
        <v>6</v>
      </c>
      <c r="C142" s="24" t="s">
        <v>774</v>
      </c>
      <c r="D142" s="41" t="s">
        <v>383</v>
      </c>
      <c r="E142" s="28">
        <v>-1223662739009</v>
      </c>
      <c r="F142" s="28"/>
    </row>
    <row r="143" spans="1:6" x14ac:dyDescent="0.2">
      <c r="A143" s="41" t="s">
        <v>385</v>
      </c>
      <c r="B143" s="41">
        <v>6</v>
      </c>
      <c r="C143" s="24" t="s">
        <v>775</v>
      </c>
      <c r="D143" s="41" t="s">
        <v>385</v>
      </c>
      <c r="E143" s="28">
        <v>-3229138644</v>
      </c>
      <c r="F143" s="28"/>
    </row>
    <row r="144" spans="1:6" x14ac:dyDescent="0.2">
      <c r="A144" s="41" t="s">
        <v>387</v>
      </c>
      <c r="B144" s="41">
        <v>6</v>
      </c>
      <c r="C144" s="24" t="s">
        <v>689</v>
      </c>
      <c r="D144" s="41" t="s">
        <v>387</v>
      </c>
      <c r="E144" s="28">
        <v>-8870692780</v>
      </c>
      <c r="F144" s="28"/>
    </row>
    <row r="145" spans="1:6" x14ac:dyDescent="0.2">
      <c r="A145" s="41" t="s">
        <v>388</v>
      </c>
      <c r="B145" s="41">
        <v>6</v>
      </c>
      <c r="C145" s="24" t="s">
        <v>15</v>
      </c>
      <c r="D145" s="41" t="s">
        <v>388</v>
      </c>
      <c r="E145" s="28">
        <v>-105908555</v>
      </c>
      <c r="F145" s="28"/>
    </row>
    <row r="146" spans="1:6" x14ac:dyDescent="0.2">
      <c r="A146" s="41" t="s">
        <v>390</v>
      </c>
      <c r="B146" s="41">
        <v>6</v>
      </c>
      <c r="C146" s="24" t="s">
        <v>695</v>
      </c>
      <c r="D146" s="41" t="s">
        <v>390</v>
      </c>
      <c r="E146" s="28">
        <v>-86844066682</v>
      </c>
      <c r="F146" s="28"/>
    </row>
    <row r="147" spans="1:6" x14ac:dyDescent="0.2">
      <c r="A147" s="41" t="s">
        <v>391</v>
      </c>
      <c r="B147" s="41">
        <v>2</v>
      </c>
      <c r="C147" s="24" t="s">
        <v>392</v>
      </c>
      <c r="D147" s="41" t="s">
        <v>391</v>
      </c>
      <c r="E147" s="28">
        <v>-47113459692</v>
      </c>
      <c r="F147" s="28"/>
    </row>
    <row r="148" spans="1:6" x14ac:dyDescent="0.2">
      <c r="A148" s="41" t="s">
        <v>403</v>
      </c>
      <c r="B148" s="41">
        <v>4</v>
      </c>
      <c r="C148" s="24" t="s">
        <v>394</v>
      </c>
      <c r="D148" s="41" t="s">
        <v>403</v>
      </c>
      <c r="E148" s="28">
        <v>-1697101859</v>
      </c>
      <c r="F148" s="28"/>
    </row>
    <row r="149" spans="1:6" x14ac:dyDescent="0.2">
      <c r="A149" s="41" t="s">
        <v>404</v>
      </c>
      <c r="B149" s="41">
        <v>6</v>
      </c>
      <c r="C149" s="24" t="s">
        <v>776</v>
      </c>
      <c r="D149" s="41" t="s">
        <v>404</v>
      </c>
      <c r="E149" s="28">
        <v>-246495101</v>
      </c>
      <c r="F149" s="28"/>
    </row>
    <row r="150" spans="1:6" x14ac:dyDescent="0.2">
      <c r="A150" s="41" t="s">
        <v>405</v>
      </c>
      <c r="B150" s="41">
        <v>6</v>
      </c>
      <c r="C150" s="24" t="s">
        <v>777</v>
      </c>
      <c r="D150" s="41" t="s">
        <v>405</v>
      </c>
      <c r="E150" s="28">
        <v>-23774272</v>
      </c>
      <c r="F150" s="28"/>
    </row>
    <row r="151" spans="1:6" x14ac:dyDescent="0.2">
      <c r="A151" s="41" t="s">
        <v>406</v>
      </c>
      <c r="B151" s="41">
        <v>6</v>
      </c>
      <c r="C151" s="24" t="s">
        <v>778</v>
      </c>
      <c r="D151" s="41" t="s">
        <v>406</v>
      </c>
      <c r="E151" s="28">
        <v>-1426832486</v>
      </c>
      <c r="F151" s="28"/>
    </row>
    <row r="152" spans="1:6" x14ac:dyDescent="0.2">
      <c r="A152" s="41" t="s">
        <v>407</v>
      </c>
      <c r="B152" s="41">
        <v>4</v>
      </c>
      <c r="C152" s="24" t="s">
        <v>408</v>
      </c>
      <c r="D152" s="41" t="s">
        <v>407</v>
      </c>
      <c r="E152" s="28">
        <v>-500000</v>
      </c>
      <c r="F152" s="28"/>
    </row>
    <row r="153" spans="1:6" x14ac:dyDescent="0.2">
      <c r="A153" s="41" t="s">
        <v>409</v>
      </c>
      <c r="B153" s="41">
        <v>6</v>
      </c>
      <c r="C153" s="44" t="s">
        <v>779</v>
      </c>
      <c r="D153" s="41" t="s">
        <v>409</v>
      </c>
      <c r="E153" s="28">
        <v>-500000</v>
      </c>
      <c r="F153" s="28"/>
    </row>
    <row r="154" spans="1:6" x14ac:dyDescent="0.2">
      <c r="A154" s="41" t="s">
        <v>780</v>
      </c>
      <c r="B154" s="41">
        <v>6</v>
      </c>
      <c r="C154" s="24" t="s">
        <v>781</v>
      </c>
      <c r="D154" s="41" t="s">
        <v>780</v>
      </c>
      <c r="E154" s="28">
        <v>0</v>
      </c>
      <c r="F154" s="28"/>
    </row>
    <row r="155" spans="1:6" x14ac:dyDescent="0.2">
      <c r="A155" s="41" t="s">
        <v>417</v>
      </c>
      <c r="B155" s="41">
        <v>4</v>
      </c>
      <c r="C155" s="24" t="s">
        <v>418</v>
      </c>
      <c r="D155" s="41" t="s">
        <v>417</v>
      </c>
      <c r="E155" s="28">
        <v>-19623736914</v>
      </c>
      <c r="F155" s="28"/>
    </row>
    <row r="156" spans="1:6" x14ac:dyDescent="0.2">
      <c r="A156" s="41" t="s">
        <v>419</v>
      </c>
      <c r="B156" s="41">
        <v>6</v>
      </c>
      <c r="C156" s="24" t="s">
        <v>782</v>
      </c>
      <c r="D156" s="41" t="s">
        <v>419</v>
      </c>
      <c r="E156" s="28">
        <v>-19622567162</v>
      </c>
      <c r="F156" s="28"/>
    </row>
    <row r="157" spans="1:6" x14ac:dyDescent="0.2">
      <c r="A157" s="41" t="s">
        <v>420</v>
      </c>
      <c r="B157" s="41">
        <v>6</v>
      </c>
      <c r="C157" s="24" t="s">
        <v>783</v>
      </c>
      <c r="D157" s="41" t="s">
        <v>420</v>
      </c>
      <c r="E157" s="28">
        <v>-1169752</v>
      </c>
      <c r="F157" s="28"/>
    </row>
    <row r="158" spans="1:6" x14ac:dyDescent="0.2">
      <c r="A158" s="41" t="s">
        <v>421</v>
      </c>
      <c r="B158" s="41">
        <v>4</v>
      </c>
      <c r="C158" s="24" t="s">
        <v>422</v>
      </c>
      <c r="D158" s="41" t="s">
        <v>421</v>
      </c>
      <c r="E158" s="28">
        <v>-25792120919</v>
      </c>
      <c r="F158" s="28"/>
    </row>
    <row r="159" spans="1:6" x14ac:dyDescent="0.2">
      <c r="A159" s="41" t="s">
        <v>423</v>
      </c>
      <c r="B159" s="41">
        <v>6</v>
      </c>
      <c r="C159" s="24" t="s">
        <v>784</v>
      </c>
      <c r="D159" s="41" t="s">
        <v>423</v>
      </c>
      <c r="E159" s="28">
        <v>-25792120919</v>
      </c>
      <c r="F159" s="28"/>
    </row>
    <row r="160" spans="1:6" x14ac:dyDescent="0.2">
      <c r="A160" s="41" t="s">
        <v>425</v>
      </c>
      <c r="B160" s="41">
        <v>1</v>
      </c>
      <c r="C160" s="41" t="s">
        <v>669</v>
      </c>
      <c r="D160" s="41" t="s">
        <v>425</v>
      </c>
      <c r="E160" s="28">
        <v>101258600522</v>
      </c>
      <c r="F160" s="28"/>
    </row>
    <row r="161" spans="1:6" x14ac:dyDescent="0.2">
      <c r="A161" s="41" t="s">
        <v>427</v>
      </c>
      <c r="B161" s="41">
        <v>2</v>
      </c>
      <c r="C161" s="24" t="s">
        <v>428</v>
      </c>
      <c r="D161" s="41" t="s">
        <v>427</v>
      </c>
      <c r="E161" s="28">
        <v>58019159065</v>
      </c>
      <c r="F161" s="28"/>
    </row>
    <row r="162" spans="1:6" x14ac:dyDescent="0.2">
      <c r="A162" s="41" t="s">
        <v>429</v>
      </c>
      <c r="B162" s="41">
        <v>4</v>
      </c>
      <c r="C162" s="24" t="s">
        <v>430</v>
      </c>
      <c r="D162" s="41" t="s">
        <v>429</v>
      </c>
      <c r="E162" s="28">
        <v>25101330174</v>
      </c>
      <c r="F162" s="28"/>
    </row>
    <row r="163" spans="1:6" x14ac:dyDescent="0.2">
      <c r="A163" s="41" t="s">
        <v>431</v>
      </c>
      <c r="B163" s="41">
        <v>6</v>
      </c>
      <c r="C163" s="24" t="s">
        <v>785</v>
      </c>
      <c r="D163" s="41" t="s">
        <v>431</v>
      </c>
      <c r="E163" s="28">
        <v>8863260070</v>
      </c>
      <c r="F163" s="28"/>
    </row>
    <row r="164" spans="1:6" x14ac:dyDescent="0.2">
      <c r="A164" s="41" t="s">
        <v>433</v>
      </c>
      <c r="B164" s="41">
        <v>6</v>
      </c>
      <c r="C164" s="24" t="s">
        <v>786</v>
      </c>
      <c r="D164" s="41" t="s">
        <v>433</v>
      </c>
      <c r="E164" s="28">
        <v>7875409</v>
      </c>
      <c r="F164" s="28"/>
    </row>
    <row r="165" spans="1:6" x14ac:dyDescent="0.2">
      <c r="A165" s="41" t="s">
        <v>435</v>
      </c>
      <c r="B165" s="41">
        <v>6</v>
      </c>
      <c r="C165" s="24" t="s">
        <v>787</v>
      </c>
      <c r="D165" s="41" t="s">
        <v>435</v>
      </c>
      <c r="E165" s="28">
        <v>0</v>
      </c>
      <c r="F165" s="28"/>
    </row>
    <row r="166" spans="1:6" x14ac:dyDescent="0.2">
      <c r="A166" s="41" t="s">
        <v>437</v>
      </c>
      <c r="B166" s="41">
        <v>6</v>
      </c>
      <c r="C166" s="24" t="s">
        <v>788</v>
      </c>
      <c r="D166" s="41" t="s">
        <v>437</v>
      </c>
      <c r="E166" s="28">
        <v>3378348004</v>
      </c>
      <c r="F166" s="28"/>
    </row>
    <row r="167" spans="1:6" x14ac:dyDescent="0.2">
      <c r="A167" s="41" t="s">
        <v>439</v>
      </c>
      <c r="B167" s="41">
        <v>6</v>
      </c>
      <c r="C167" s="24" t="s">
        <v>730</v>
      </c>
      <c r="D167" s="41" t="s">
        <v>439</v>
      </c>
      <c r="E167" s="28">
        <v>8727170957</v>
      </c>
      <c r="F167" s="28"/>
    </row>
    <row r="168" spans="1:6" x14ac:dyDescent="0.2">
      <c r="A168" s="41" t="s">
        <v>440</v>
      </c>
      <c r="B168" s="41">
        <v>6</v>
      </c>
      <c r="C168" s="24" t="s">
        <v>748</v>
      </c>
      <c r="D168" s="41" t="s">
        <v>440</v>
      </c>
      <c r="E168" s="28">
        <v>524468517</v>
      </c>
      <c r="F168" s="28"/>
    </row>
    <row r="169" spans="1:6" x14ac:dyDescent="0.2">
      <c r="A169" s="41" t="s">
        <v>441</v>
      </c>
      <c r="B169" s="41">
        <v>6</v>
      </c>
      <c r="C169" s="24" t="s">
        <v>789</v>
      </c>
      <c r="D169" s="41" t="s">
        <v>441</v>
      </c>
      <c r="E169" s="28">
        <v>408031190</v>
      </c>
      <c r="F169" s="28"/>
    </row>
    <row r="170" spans="1:6" x14ac:dyDescent="0.2">
      <c r="A170" s="41" t="s">
        <v>443</v>
      </c>
      <c r="B170" s="41">
        <v>6</v>
      </c>
      <c r="C170" s="24" t="s">
        <v>746</v>
      </c>
      <c r="D170" s="41" t="s">
        <v>443</v>
      </c>
      <c r="E170" s="28">
        <v>797232023</v>
      </c>
      <c r="F170" s="28"/>
    </row>
    <row r="171" spans="1:6" x14ac:dyDescent="0.2">
      <c r="A171" s="41" t="s">
        <v>444</v>
      </c>
      <c r="B171" s="41">
        <v>6</v>
      </c>
      <c r="C171" s="24" t="s">
        <v>790</v>
      </c>
      <c r="D171" s="41" t="s">
        <v>444</v>
      </c>
      <c r="E171" s="28">
        <v>88396377</v>
      </c>
      <c r="F171" s="28"/>
    </row>
    <row r="172" spans="1:6" x14ac:dyDescent="0.2">
      <c r="A172" s="41" t="s">
        <v>446</v>
      </c>
      <c r="B172" s="41">
        <v>6</v>
      </c>
      <c r="C172" s="24" t="s">
        <v>791</v>
      </c>
      <c r="D172" s="41" t="s">
        <v>446</v>
      </c>
      <c r="E172" s="28">
        <v>116893693</v>
      </c>
      <c r="F172" s="28"/>
    </row>
    <row r="173" spans="1:6" x14ac:dyDescent="0.2">
      <c r="A173" s="41" t="s">
        <v>447</v>
      </c>
      <c r="B173" s="41">
        <v>6</v>
      </c>
      <c r="C173" s="44" t="s">
        <v>792</v>
      </c>
      <c r="D173" s="41" t="s">
        <v>447</v>
      </c>
      <c r="E173" s="46">
        <v>249036857</v>
      </c>
      <c r="F173" s="28"/>
    </row>
    <row r="174" spans="1:6" x14ac:dyDescent="0.2">
      <c r="A174" s="41" t="s">
        <v>449</v>
      </c>
      <c r="B174" s="41">
        <v>6</v>
      </c>
      <c r="C174" s="24" t="s">
        <v>793</v>
      </c>
      <c r="D174" s="41" t="s">
        <v>449</v>
      </c>
      <c r="E174" s="28">
        <v>1002297475</v>
      </c>
      <c r="F174" s="28"/>
    </row>
    <row r="175" spans="1:6" x14ac:dyDescent="0.2">
      <c r="A175" s="41" t="s">
        <v>451</v>
      </c>
      <c r="B175" s="41">
        <v>6</v>
      </c>
      <c r="C175" s="24" t="s">
        <v>794</v>
      </c>
      <c r="D175" s="41" t="s">
        <v>451</v>
      </c>
      <c r="E175" s="28">
        <v>43305320</v>
      </c>
      <c r="F175" s="28"/>
    </row>
    <row r="176" spans="1:6" x14ac:dyDescent="0.2">
      <c r="A176" s="41" t="s">
        <v>453</v>
      </c>
      <c r="B176" s="41">
        <v>6</v>
      </c>
      <c r="C176" s="24" t="s">
        <v>795</v>
      </c>
      <c r="D176" s="41" t="s">
        <v>453</v>
      </c>
      <c r="E176" s="28">
        <v>101243592</v>
      </c>
      <c r="F176" s="28"/>
    </row>
    <row r="177" spans="1:6" x14ac:dyDescent="0.2">
      <c r="A177" s="41" t="s">
        <v>455</v>
      </c>
      <c r="B177" s="41">
        <v>6</v>
      </c>
      <c r="C177" s="24" t="s">
        <v>762</v>
      </c>
      <c r="D177" s="41" t="s">
        <v>455</v>
      </c>
      <c r="E177" s="28">
        <v>793770690</v>
      </c>
      <c r="F177" s="28"/>
    </row>
    <row r="178" spans="1:6" x14ac:dyDescent="0.2">
      <c r="A178" s="41" t="s">
        <v>456</v>
      </c>
      <c r="B178" s="41">
        <v>4</v>
      </c>
      <c r="C178" s="24" t="s">
        <v>457</v>
      </c>
      <c r="D178" s="41" t="s">
        <v>456</v>
      </c>
      <c r="E178" s="28">
        <v>113789933</v>
      </c>
      <c r="F178" s="28"/>
    </row>
    <row r="179" spans="1:6" x14ac:dyDescent="0.2">
      <c r="A179" s="41" t="s">
        <v>458</v>
      </c>
      <c r="B179" s="41">
        <v>6</v>
      </c>
      <c r="C179" s="24" t="s">
        <v>15</v>
      </c>
      <c r="D179" s="41" t="s">
        <v>458</v>
      </c>
      <c r="E179" s="28">
        <v>90255404</v>
      </c>
      <c r="F179" s="28"/>
    </row>
    <row r="180" spans="1:6" x14ac:dyDescent="0.2">
      <c r="A180" s="41" t="s">
        <v>459</v>
      </c>
      <c r="B180" s="41">
        <v>6</v>
      </c>
      <c r="C180" s="24" t="s">
        <v>796</v>
      </c>
      <c r="D180" s="41" t="s">
        <v>459</v>
      </c>
      <c r="E180" s="28">
        <v>23534529</v>
      </c>
      <c r="F180" s="28"/>
    </row>
    <row r="181" spans="1:6" x14ac:dyDescent="0.2">
      <c r="A181" s="41" t="s">
        <v>461</v>
      </c>
      <c r="B181" s="41">
        <v>4</v>
      </c>
      <c r="C181" s="24" t="s">
        <v>462</v>
      </c>
      <c r="D181" s="41" t="s">
        <v>461</v>
      </c>
      <c r="E181" s="28">
        <v>2595905486</v>
      </c>
      <c r="F181" s="28"/>
    </row>
    <row r="182" spans="1:6" x14ac:dyDescent="0.2">
      <c r="A182" s="41" t="s">
        <v>463</v>
      </c>
      <c r="B182" s="41">
        <v>6</v>
      </c>
      <c r="C182" s="24" t="s">
        <v>797</v>
      </c>
      <c r="D182" s="41" t="s">
        <v>463</v>
      </c>
      <c r="E182" s="28">
        <v>391898968</v>
      </c>
      <c r="F182" s="28"/>
    </row>
    <row r="183" spans="1:6" x14ac:dyDescent="0.2">
      <c r="A183" s="41" t="s">
        <v>464</v>
      </c>
      <c r="B183" s="41">
        <v>6</v>
      </c>
      <c r="C183" s="24" t="s">
        <v>798</v>
      </c>
      <c r="D183" s="41" t="s">
        <v>464</v>
      </c>
      <c r="E183" s="28">
        <v>860054891</v>
      </c>
      <c r="F183" s="28"/>
    </row>
    <row r="184" spans="1:6" x14ac:dyDescent="0.2">
      <c r="A184" s="41" t="s">
        <v>466</v>
      </c>
      <c r="B184" s="41">
        <v>6</v>
      </c>
      <c r="C184" s="24" t="s">
        <v>799</v>
      </c>
      <c r="D184" s="41" t="s">
        <v>466</v>
      </c>
      <c r="E184" s="28">
        <v>155259753</v>
      </c>
      <c r="F184" s="28"/>
    </row>
    <row r="185" spans="1:6" x14ac:dyDescent="0.2">
      <c r="A185" s="41" t="s">
        <v>468</v>
      </c>
      <c r="B185" s="41">
        <v>6</v>
      </c>
      <c r="C185" s="24" t="s">
        <v>800</v>
      </c>
      <c r="D185" s="41" t="s">
        <v>468</v>
      </c>
      <c r="E185" s="28">
        <v>275168501</v>
      </c>
      <c r="F185" s="28"/>
    </row>
    <row r="186" spans="1:6" x14ac:dyDescent="0.2">
      <c r="A186" s="41" t="s">
        <v>470</v>
      </c>
      <c r="B186" s="41">
        <v>6</v>
      </c>
      <c r="C186" s="24" t="s">
        <v>801</v>
      </c>
      <c r="D186" s="41" t="s">
        <v>470</v>
      </c>
      <c r="E186" s="28">
        <v>913523373</v>
      </c>
      <c r="F186" s="28"/>
    </row>
    <row r="187" spans="1:6" x14ac:dyDescent="0.2">
      <c r="A187" s="41" t="s">
        <v>472</v>
      </c>
      <c r="B187" s="41">
        <v>4</v>
      </c>
      <c r="C187" s="24" t="s">
        <v>473</v>
      </c>
      <c r="D187" s="41" t="s">
        <v>472</v>
      </c>
      <c r="E187" s="28">
        <v>491187874</v>
      </c>
      <c r="F187" s="28"/>
    </row>
    <row r="188" spans="1:6" x14ac:dyDescent="0.2">
      <c r="A188" s="41" t="s">
        <v>474</v>
      </c>
      <c r="B188" s="41">
        <v>6</v>
      </c>
      <c r="C188" s="24" t="s">
        <v>802</v>
      </c>
      <c r="D188" s="41" t="s">
        <v>474</v>
      </c>
      <c r="E188" s="28">
        <v>294754481</v>
      </c>
      <c r="F188" s="28"/>
    </row>
    <row r="189" spans="1:6" x14ac:dyDescent="0.2">
      <c r="A189" s="41" t="s">
        <v>476</v>
      </c>
      <c r="B189" s="41">
        <v>6</v>
      </c>
      <c r="C189" s="24" t="s">
        <v>803</v>
      </c>
      <c r="D189" s="41" t="s">
        <v>476</v>
      </c>
      <c r="E189" s="28">
        <v>196433393</v>
      </c>
      <c r="F189" s="28"/>
    </row>
    <row r="190" spans="1:6" x14ac:dyDescent="0.2">
      <c r="A190" s="41" t="s">
        <v>494</v>
      </c>
      <c r="B190" s="41">
        <v>4</v>
      </c>
      <c r="C190" s="24" t="s">
        <v>495</v>
      </c>
      <c r="D190" s="41" t="s">
        <v>494</v>
      </c>
      <c r="E190" s="28">
        <v>29223854597</v>
      </c>
      <c r="F190" s="28"/>
    </row>
    <row r="191" spans="1:6" x14ac:dyDescent="0.2">
      <c r="A191" s="41" t="s">
        <v>496</v>
      </c>
      <c r="B191" s="41">
        <v>6</v>
      </c>
      <c r="C191" s="24" t="s">
        <v>804</v>
      </c>
      <c r="D191" s="41" t="s">
        <v>496</v>
      </c>
      <c r="E191" s="28">
        <v>17389895401</v>
      </c>
      <c r="F191" s="28"/>
    </row>
    <row r="192" spans="1:6" x14ac:dyDescent="0.2">
      <c r="A192" s="41" t="s">
        <v>498</v>
      </c>
      <c r="B192" s="41">
        <v>6</v>
      </c>
      <c r="C192" s="24" t="s">
        <v>805</v>
      </c>
      <c r="D192" s="41" t="s">
        <v>498</v>
      </c>
      <c r="E192" s="28">
        <v>1037625120</v>
      </c>
      <c r="F192" s="28"/>
    </row>
    <row r="193" spans="1:6" x14ac:dyDescent="0.2">
      <c r="A193" s="41" t="s">
        <v>500</v>
      </c>
      <c r="B193" s="41">
        <v>6</v>
      </c>
      <c r="C193" s="24" t="s">
        <v>806</v>
      </c>
      <c r="D193" s="41" t="s">
        <v>500</v>
      </c>
      <c r="E193" s="28">
        <v>275746964</v>
      </c>
      <c r="F193" s="28"/>
    </row>
    <row r="194" spans="1:6" x14ac:dyDescent="0.2">
      <c r="A194" s="41" t="s">
        <v>502</v>
      </c>
      <c r="B194" s="41">
        <v>6</v>
      </c>
      <c r="C194" s="24" t="s">
        <v>807</v>
      </c>
      <c r="D194" s="41" t="s">
        <v>502</v>
      </c>
      <c r="E194" s="28">
        <v>559724922</v>
      </c>
      <c r="F194" s="28"/>
    </row>
    <row r="195" spans="1:6" x14ac:dyDescent="0.2">
      <c r="A195" s="41" t="s">
        <v>504</v>
      </c>
      <c r="B195" s="41">
        <v>6</v>
      </c>
      <c r="C195" s="24" t="s">
        <v>808</v>
      </c>
      <c r="D195" s="41" t="s">
        <v>504</v>
      </c>
      <c r="E195" s="28">
        <v>118149944</v>
      </c>
      <c r="F195" s="28"/>
    </row>
    <row r="196" spans="1:6" x14ac:dyDescent="0.2">
      <c r="A196" s="41" t="s">
        <v>506</v>
      </c>
      <c r="B196" s="41">
        <v>6</v>
      </c>
      <c r="C196" s="24" t="s">
        <v>715</v>
      </c>
      <c r="D196" s="41" t="s">
        <v>506</v>
      </c>
      <c r="E196" s="28">
        <v>2367548655</v>
      </c>
      <c r="F196" s="28"/>
    </row>
    <row r="197" spans="1:6" x14ac:dyDescent="0.2">
      <c r="A197" s="41" t="s">
        <v>507</v>
      </c>
      <c r="B197" s="41">
        <v>6</v>
      </c>
      <c r="C197" s="24" t="s">
        <v>809</v>
      </c>
      <c r="D197" s="41" t="s">
        <v>507</v>
      </c>
      <c r="E197" s="28">
        <v>6055376476</v>
      </c>
      <c r="F197" s="28"/>
    </row>
    <row r="198" spans="1:6" x14ac:dyDescent="0.2">
      <c r="A198" s="41" t="s">
        <v>509</v>
      </c>
      <c r="B198" s="41">
        <v>6</v>
      </c>
      <c r="C198" s="24" t="s">
        <v>717</v>
      </c>
      <c r="D198" s="41" t="s">
        <v>509</v>
      </c>
      <c r="E198" s="28">
        <v>680600</v>
      </c>
      <c r="F198" s="28"/>
    </row>
    <row r="199" spans="1:6" x14ac:dyDescent="0.2">
      <c r="A199" s="41" t="s">
        <v>510</v>
      </c>
      <c r="B199" s="41">
        <v>6</v>
      </c>
      <c r="C199" s="24" t="s">
        <v>810</v>
      </c>
      <c r="D199" s="41" t="s">
        <v>510</v>
      </c>
      <c r="E199" s="28">
        <v>60570863</v>
      </c>
      <c r="F199" s="28"/>
    </row>
    <row r="200" spans="1:6" x14ac:dyDescent="0.2">
      <c r="A200" s="41" t="s">
        <v>512</v>
      </c>
      <c r="B200" s="41">
        <v>6</v>
      </c>
      <c r="C200" s="24" t="s">
        <v>811</v>
      </c>
      <c r="D200" s="41" t="s">
        <v>512</v>
      </c>
      <c r="E200" s="28">
        <v>85521465</v>
      </c>
      <c r="F200" s="28"/>
    </row>
    <row r="201" spans="1:6" x14ac:dyDescent="0.2">
      <c r="A201" s="41" t="s">
        <v>514</v>
      </c>
      <c r="B201" s="41">
        <v>6</v>
      </c>
      <c r="C201" s="24" t="s">
        <v>812</v>
      </c>
      <c r="D201" s="41" t="s">
        <v>514</v>
      </c>
      <c r="E201" s="28">
        <v>701450</v>
      </c>
      <c r="F201" s="28"/>
    </row>
    <row r="202" spans="1:6" x14ac:dyDescent="0.2">
      <c r="A202" s="41" t="s">
        <v>516</v>
      </c>
      <c r="B202" s="41">
        <v>6</v>
      </c>
      <c r="C202" s="24" t="s">
        <v>813</v>
      </c>
      <c r="D202" s="41" t="s">
        <v>516</v>
      </c>
      <c r="E202" s="28">
        <v>32658742</v>
      </c>
      <c r="F202" s="28"/>
    </row>
    <row r="203" spans="1:6" x14ac:dyDescent="0.2">
      <c r="A203" s="41" t="s">
        <v>518</v>
      </c>
      <c r="B203" s="41">
        <v>6</v>
      </c>
      <c r="C203" s="24" t="s">
        <v>814</v>
      </c>
      <c r="D203" s="41" t="s">
        <v>518</v>
      </c>
      <c r="E203" s="28">
        <v>28253903</v>
      </c>
      <c r="F203" s="28"/>
    </row>
    <row r="204" spans="1:6" x14ac:dyDescent="0.2">
      <c r="A204" s="41" t="s">
        <v>520</v>
      </c>
      <c r="B204" s="41">
        <v>6</v>
      </c>
      <c r="C204" s="24" t="s">
        <v>815</v>
      </c>
      <c r="D204" s="41" t="s">
        <v>520</v>
      </c>
      <c r="E204" s="28">
        <v>35146830</v>
      </c>
      <c r="F204" s="28"/>
    </row>
    <row r="205" spans="1:6" x14ac:dyDescent="0.2">
      <c r="A205" s="41" t="s">
        <v>522</v>
      </c>
      <c r="B205" s="41">
        <v>6</v>
      </c>
      <c r="C205" s="24" t="s">
        <v>816</v>
      </c>
      <c r="D205" s="41" t="s">
        <v>522</v>
      </c>
      <c r="E205" s="28">
        <v>665796437</v>
      </c>
      <c r="F205" s="28"/>
    </row>
    <row r="206" spans="1:6" x14ac:dyDescent="0.2">
      <c r="A206" s="41" t="s">
        <v>524</v>
      </c>
      <c r="B206" s="41">
        <v>6</v>
      </c>
      <c r="C206" s="24" t="s">
        <v>817</v>
      </c>
      <c r="D206" s="41" t="s">
        <v>524</v>
      </c>
      <c r="E206" s="28">
        <v>182032525</v>
      </c>
      <c r="F206" s="28"/>
    </row>
    <row r="207" spans="1:6" x14ac:dyDescent="0.2">
      <c r="A207" s="41" t="s">
        <v>526</v>
      </c>
      <c r="B207" s="41">
        <v>6</v>
      </c>
      <c r="C207" s="24" t="s">
        <v>818</v>
      </c>
      <c r="D207" s="41" t="s">
        <v>526</v>
      </c>
      <c r="E207" s="28">
        <v>164755859</v>
      </c>
      <c r="F207" s="28"/>
    </row>
    <row r="208" spans="1:6" x14ac:dyDescent="0.2">
      <c r="A208" s="41" t="s">
        <v>528</v>
      </c>
      <c r="B208" s="41">
        <v>6</v>
      </c>
      <c r="C208" s="24" t="s">
        <v>819</v>
      </c>
      <c r="D208" s="41" t="s">
        <v>528</v>
      </c>
      <c r="E208" s="28">
        <v>155066161</v>
      </c>
      <c r="F208" s="28"/>
    </row>
    <row r="209" spans="1:6" x14ac:dyDescent="0.2">
      <c r="A209" s="41" t="s">
        <v>530</v>
      </c>
      <c r="B209" s="41">
        <v>6</v>
      </c>
      <c r="C209" s="24" t="s">
        <v>820</v>
      </c>
      <c r="D209" s="41" t="s">
        <v>530</v>
      </c>
      <c r="E209" s="28">
        <v>4702280</v>
      </c>
      <c r="F209" s="28"/>
    </row>
    <row r="210" spans="1:6" x14ac:dyDescent="0.2">
      <c r="A210" s="41" t="s">
        <v>532</v>
      </c>
      <c r="B210" s="41">
        <v>6</v>
      </c>
      <c r="C210" s="24" t="s">
        <v>821</v>
      </c>
      <c r="D210" s="41" t="s">
        <v>532</v>
      </c>
      <c r="E210" s="28">
        <v>3900000</v>
      </c>
    </row>
    <row r="211" spans="1:6" x14ac:dyDescent="0.2">
      <c r="A211" s="41" t="s">
        <v>537</v>
      </c>
      <c r="B211" s="41">
        <v>4</v>
      </c>
      <c r="C211" s="24" t="s">
        <v>538</v>
      </c>
      <c r="D211" s="41" t="s">
        <v>537</v>
      </c>
      <c r="E211" s="28">
        <v>493091001</v>
      </c>
    </row>
    <row r="212" spans="1:6" x14ac:dyDescent="0.2">
      <c r="A212" s="41" t="s">
        <v>539</v>
      </c>
      <c r="B212" s="41">
        <v>6</v>
      </c>
      <c r="C212" s="44" t="s">
        <v>739</v>
      </c>
      <c r="D212" s="41" t="s">
        <v>539</v>
      </c>
      <c r="E212" s="28">
        <v>167531000</v>
      </c>
    </row>
    <row r="213" spans="1:6" x14ac:dyDescent="0.2">
      <c r="A213" s="41" t="s">
        <v>541</v>
      </c>
      <c r="B213" s="41">
        <v>6</v>
      </c>
      <c r="C213" s="44" t="s">
        <v>737</v>
      </c>
      <c r="D213" s="41" t="s">
        <v>541</v>
      </c>
      <c r="E213" s="28">
        <v>260890987</v>
      </c>
    </row>
    <row r="214" spans="1:6" ht="15.75" customHeight="1" x14ac:dyDescent="0.2">
      <c r="A214" s="41" t="s">
        <v>543</v>
      </c>
      <c r="B214" s="41">
        <v>6</v>
      </c>
      <c r="C214" s="24" t="s">
        <v>823</v>
      </c>
      <c r="D214" s="41" t="s">
        <v>543</v>
      </c>
      <c r="E214" s="28">
        <v>58243251</v>
      </c>
    </row>
    <row r="215" spans="1:6" x14ac:dyDescent="0.2">
      <c r="A215" s="41" t="s">
        <v>545</v>
      </c>
      <c r="B215" s="41">
        <v>6</v>
      </c>
      <c r="C215" s="24" t="s">
        <v>824</v>
      </c>
      <c r="D215" s="41" t="s">
        <v>545</v>
      </c>
      <c r="E215" s="28">
        <v>6425763</v>
      </c>
    </row>
    <row r="216" spans="1:6" x14ac:dyDescent="0.2">
      <c r="A216" s="41" t="s">
        <v>547</v>
      </c>
      <c r="B216" s="41">
        <v>2</v>
      </c>
      <c r="C216" s="24" t="s">
        <v>548</v>
      </c>
      <c r="D216" s="41" t="s">
        <v>547</v>
      </c>
      <c r="E216" s="28">
        <v>13653036035</v>
      </c>
    </row>
    <row r="217" spans="1:6" x14ac:dyDescent="0.2">
      <c r="A217" s="41" t="s">
        <v>549</v>
      </c>
      <c r="B217" s="41">
        <v>4</v>
      </c>
      <c r="C217" s="24" t="s">
        <v>550</v>
      </c>
      <c r="D217" s="41" t="s">
        <v>549</v>
      </c>
      <c r="E217" s="28">
        <v>13126712403</v>
      </c>
    </row>
    <row r="218" spans="1:6" x14ac:dyDescent="0.2">
      <c r="A218" s="41" t="s">
        <v>551</v>
      </c>
      <c r="B218" s="41">
        <v>6</v>
      </c>
      <c r="C218" s="24" t="s">
        <v>703</v>
      </c>
      <c r="D218" s="41" t="s">
        <v>551</v>
      </c>
      <c r="E218" s="28">
        <v>13126712403</v>
      </c>
    </row>
    <row r="219" spans="1:6" x14ac:dyDescent="0.2">
      <c r="A219" s="41" t="s">
        <v>552</v>
      </c>
      <c r="B219" s="41">
        <v>4</v>
      </c>
      <c r="C219" s="24" t="s">
        <v>332</v>
      </c>
      <c r="D219" s="41" t="s">
        <v>552</v>
      </c>
      <c r="E219" s="28">
        <v>47622979</v>
      </c>
    </row>
    <row r="220" spans="1:6" x14ac:dyDescent="0.2">
      <c r="A220" s="41" t="s">
        <v>554</v>
      </c>
      <c r="B220" s="41">
        <v>6</v>
      </c>
      <c r="C220" s="24" t="s">
        <v>756</v>
      </c>
      <c r="D220" s="41" t="s">
        <v>554</v>
      </c>
      <c r="E220" s="28">
        <v>39922979</v>
      </c>
    </row>
    <row r="221" spans="1:6" x14ac:dyDescent="0.2">
      <c r="A221" s="41" t="s">
        <v>555</v>
      </c>
      <c r="B221" s="41">
        <v>6</v>
      </c>
      <c r="C221" s="44" t="s">
        <v>847</v>
      </c>
      <c r="D221" s="41" t="s">
        <v>555</v>
      </c>
      <c r="E221" s="28">
        <v>7700000</v>
      </c>
    </row>
    <row r="222" spans="1:6" x14ac:dyDescent="0.2">
      <c r="A222" s="41" t="s">
        <v>556</v>
      </c>
      <c r="B222" s="41">
        <v>4</v>
      </c>
      <c r="C222" s="24" t="s">
        <v>557</v>
      </c>
      <c r="D222" s="41" t="s">
        <v>556</v>
      </c>
      <c r="E222" s="28">
        <v>188268000</v>
      </c>
    </row>
    <row r="223" spans="1:6" x14ac:dyDescent="0.2">
      <c r="A223" s="41" t="s">
        <v>558</v>
      </c>
      <c r="B223" s="41">
        <v>6</v>
      </c>
      <c r="C223" s="24" t="s">
        <v>347</v>
      </c>
      <c r="D223" s="41" t="s">
        <v>558</v>
      </c>
      <c r="E223" s="28">
        <v>188268000</v>
      </c>
    </row>
    <row r="224" spans="1:6" x14ac:dyDescent="0.2">
      <c r="A224" s="41" t="s">
        <v>559</v>
      </c>
      <c r="B224" s="41">
        <v>4</v>
      </c>
      <c r="C224" s="24" t="s">
        <v>560</v>
      </c>
      <c r="D224" s="41" t="s">
        <v>559</v>
      </c>
      <c r="E224" s="28">
        <v>47286786</v>
      </c>
    </row>
    <row r="225" spans="1:6" x14ac:dyDescent="0.2">
      <c r="A225" s="41" t="s">
        <v>825</v>
      </c>
      <c r="B225" s="41">
        <v>6</v>
      </c>
      <c r="C225" s="24" t="s">
        <v>826</v>
      </c>
      <c r="D225" s="41" t="s">
        <v>825</v>
      </c>
      <c r="E225" s="28">
        <v>0</v>
      </c>
    </row>
    <row r="226" spans="1:6" x14ac:dyDescent="0.2">
      <c r="A226" s="41" t="s">
        <v>561</v>
      </c>
      <c r="B226" s="41">
        <v>6</v>
      </c>
      <c r="C226" s="24" t="s">
        <v>709</v>
      </c>
      <c r="D226" s="41" t="s">
        <v>561</v>
      </c>
      <c r="E226" s="28">
        <v>16672005</v>
      </c>
    </row>
    <row r="227" spans="1:6" x14ac:dyDescent="0.2">
      <c r="A227" s="41" t="s">
        <v>562</v>
      </c>
      <c r="B227" s="41">
        <v>6</v>
      </c>
      <c r="C227" s="24" t="s">
        <v>827</v>
      </c>
      <c r="D227" s="41" t="s">
        <v>562</v>
      </c>
      <c r="E227" s="28">
        <v>22797164</v>
      </c>
    </row>
    <row r="228" spans="1:6" x14ac:dyDescent="0.2">
      <c r="A228" s="41" t="s">
        <v>564</v>
      </c>
      <c r="B228" s="41">
        <v>6</v>
      </c>
      <c r="C228" s="24" t="s">
        <v>711</v>
      </c>
      <c r="D228" s="41" t="s">
        <v>564</v>
      </c>
      <c r="E228" s="28">
        <v>7817617</v>
      </c>
    </row>
    <row r="229" spans="1:6" x14ac:dyDescent="0.2">
      <c r="A229" s="41" t="s">
        <v>565</v>
      </c>
      <c r="B229" s="41">
        <v>4</v>
      </c>
      <c r="C229" s="24" t="s">
        <v>566</v>
      </c>
      <c r="D229" s="41" t="s">
        <v>565</v>
      </c>
      <c r="E229" s="28">
        <v>243145867</v>
      </c>
    </row>
    <row r="230" spans="1:6" x14ac:dyDescent="0.2">
      <c r="A230" s="41" t="s">
        <v>567</v>
      </c>
      <c r="B230" s="41">
        <v>6</v>
      </c>
      <c r="C230" s="24" t="s">
        <v>828</v>
      </c>
      <c r="D230" s="41" t="s">
        <v>567</v>
      </c>
      <c r="E230" s="28">
        <v>218520000</v>
      </c>
    </row>
    <row r="231" spans="1:6" x14ac:dyDescent="0.2">
      <c r="A231" s="41" t="s">
        <v>569</v>
      </c>
      <c r="B231" s="41">
        <v>6</v>
      </c>
      <c r="C231" s="24" t="s">
        <v>829</v>
      </c>
      <c r="D231" s="41" t="s">
        <v>569</v>
      </c>
      <c r="E231" s="28">
        <v>24625867</v>
      </c>
      <c r="F231" s="28"/>
    </row>
    <row r="232" spans="1:6" x14ac:dyDescent="0.2">
      <c r="A232" s="41" t="s">
        <v>607</v>
      </c>
      <c r="B232" s="41">
        <v>2</v>
      </c>
      <c r="C232" s="24" t="s">
        <v>608</v>
      </c>
      <c r="D232" s="41" t="s">
        <v>607</v>
      </c>
      <c r="E232" s="28">
        <v>29586405422</v>
      </c>
      <c r="F232" s="28"/>
    </row>
    <row r="233" spans="1:6" x14ac:dyDescent="0.2">
      <c r="A233" s="41" t="s">
        <v>609</v>
      </c>
      <c r="B233" s="41">
        <v>4</v>
      </c>
      <c r="C233" s="24" t="s">
        <v>610</v>
      </c>
      <c r="D233" s="41" t="s">
        <v>609</v>
      </c>
      <c r="E233" s="28">
        <v>7047842313</v>
      </c>
      <c r="F233" s="28"/>
    </row>
    <row r="234" spans="1:6" x14ac:dyDescent="0.2">
      <c r="A234" s="41" t="s">
        <v>611</v>
      </c>
      <c r="B234" s="41">
        <v>6</v>
      </c>
      <c r="C234" s="24" t="s">
        <v>830</v>
      </c>
      <c r="D234" s="41" t="s">
        <v>611</v>
      </c>
      <c r="E234" s="28">
        <v>7047842313</v>
      </c>
      <c r="F234" s="28"/>
    </row>
    <row r="235" spans="1:6" x14ac:dyDescent="0.2">
      <c r="A235" s="41" t="s">
        <v>613</v>
      </c>
      <c r="B235" s="41">
        <v>4</v>
      </c>
      <c r="C235" s="24" t="s">
        <v>232</v>
      </c>
      <c r="D235" s="41" t="s">
        <v>613</v>
      </c>
      <c r="E235" s="28">
        <v>80830697</v>
      </c>
      <c r="F235" s="28"/>
    </row>
    <row r="236" spans="1:6" x14ac:dyDescent="0.2">
      <c r="A236" s="41" t="s">
        <v>616</v>
      </c>
      <c r="B236" s="41">
        <v>6</v>
      </c>
      <c r="C236" s="24" t="s">
        <v>831</v>
      </c>
      <c r="D236" s="41" t="s">
        <v>616</v>
      </c>
      <c r="E236" s="28">
        <v>80830697</v>
      </c>
      <c r="F236" s="28"/>
    </row>
    <row r="237" spans="1:6" x14ac:dyDescent="0.2">
      <c r="A237" s="41" t="s">
        <v>676</v>
      </c>
      <c r="B237" s="41">
        <v>4</v>
      </c>
      <c r="C237" s="24" t="s">
        <v>677</v>
      </c>
      <c r="D237" s="41" t="s">
        <v>676</v>
      </c>
      <c r="E237" s="28">
        <v>0</v>
      </c>
      <c r="F237" s="28"/>
    </row>
    <row r="238" spans="1:6" x14ac:dyDescent="0.2">
      <c r="A238" s="41" t="s">
        <v>832</v>
      </c>
      <c r="B238" s="41">
        <v>6</v>
      </c>
      <c r="C238" s="44" t="s">
        <v>833</v>
      </c>
      <c r="D238" s="41" t="s">
        <v>832</v>
      </c>
      <c r="E238" s="28">
        <v>0</v>
      </c>
      <c r="F238" s="28"/>
    </row>
    <row r="239" spans="1:6" x14ac:dyDescent="0.2">
      <c r="A239" s="41" t="s">
        <v>624</v>
      </c>
      <c r="B239" s="41">
        <v>4</v>
      </c>
      <c r="C239" s="24" t="s">
        <v>625</v>
      </c>
      <c r="D239" s="41" t="s">
        <v>624</v>
      </c>
      <c r="E239" s="28">
        <v>85000230</v>
      </c>
      <c r="F239" s="28"/>
    </row>
    <row r="240" spans="1:6" x14ac:dyDescent="0.2">
      <c r="A240" s="41" t="s">
        <v>626</v>
      </c>
      <c r="B240" s="41">
        <v>6</v>
      </c>
      <c r="C240" s="24" t="s">
        <v>834</v>
      </c>
      <c r="D240" s="41" t="s">
        <v>626</v>
      </c>
      <c r="E240" s="28">
        <v>0</v>
      </c>
      <c r="F240" s="28"/>
    </row>
    <row r="241" spans="1:6" x14ac:dyDescent="0.2">
      <c r="A241" s="41" t="s">
        <v>628</v>
      </c>
      <c r="B241" s="41">
        <v>6</v>
      </c>
      <c r="C241" s="44" t="s">
        <v>835</v>
      </c>
      <c r="D241" s="41" t="s">
        <v>628</v>
      </c>
      <c r="E241" s="28">
        <v>230</v>
      </c>
      <c r="F241" s="28"/>
    </row>
    <row r="242" spans="1:6" x14ac:dyDescent="0.2">
      <c r="A242" s="41" t="s">
        <v>630</v>
      </c>
      <c r="B242" s="41">
        <v>6</v>
      </c>
      <c r="C242" s="44" t="s">
        <v>836</v>
      </c>
      <c r="D242" s="41" t="s">
        <v>630</v>
      </c>
      <c r="E242" s="28">
        <v>85000000</v>
      </c>
      <c r="F242" s="28"/>
    </row>
    <row r="243" spans="1:6" x14ac:dyDescent="0.2">
      <c r="A243" s="41" t="s">
        <v>632</v>
      </c>
      <c r="B243" s="41">
        <v>4</v>
      </c>
      <c r="C243" s="24" t="s">
        <v>418</v>
      </c>
      <c r="D243" s="41" t="s">
        <v>632</v>
      </c>
      <c r="E243" s="28">
        <v>187345</v>
      </c>
      <c r="F243" s="28"/>
    </row>
    <row r="244" spans="1:6" x14ac:dyDescent="0.2">
      <c r="A244" s="41" t="s">
        <v>633</v>
      </c>
      <c r="B244" s="41">
        <v>6</v>
      </c>
      <c r="C244" s="24" t="s">
        <v>837</v>
      </c>
      <c r="D244" s="41" t="s">
        <v>633</v>
      </c>
      <c r="E244" s="28">
        <v>187345</v>
      </c>
      <c r="F244" s="28"/>
    </row>
    <row r="245" spans="1:6" x14ac:dyDescent="0.2">
      <c r="A245" s="41" t="s">
        <v>635</v>
      </c>
      <c r="B245" s="41">
        <v>4</v>
      </c>
      <c r="C245" s="24" t="s">
        <v>422</v>
      </c>
      <c r="D245" s="41" t="s">
        <v>635</v>
      </c>
      <c r="E245" s="28">
        <v>22372544837</v>
      </c>
      <c r="F245" s="28"/>
    </row>
    <row r="246" spans="1:6" x14ac:dyDescent="0.2">
      <c r="A246" s="41" t="s">
        <v>838</v>
      </c>
      <c r="B246" s="41">
        <v>6</v>
      </c>
      <c r="C246" s="24" t="s">
        <v>839</v>
      </c>
      <c r="D246" s="41" t="s">
        <v>838</v>
      </c>
      <c r="E246" s="28">
        <v>0</v>
      </c>
      <c r="F246" s="28"/>
    </row>
    <row r="247" spans="1:6" x14ac:dyDescent="0.2">
      <c r="A247" s="41" t="s">
        <v>636</v>
      </c>
      <c r="B247" s="41">
        <v>6</v>
      </c>
      <c r="C247" s="24" t="s">
        <v>840</v>
      </c>
      <c r="D247" s="41" t="s">
        <v>636</v>
      </c>
      <c r="E247" s="28">
        <v>22372544837</v>
      </c>
      <c r="F247" s="28"/>
    </row>
    <row r="248" spans="1:6" x14ac:dyDescent="0.2">
      <c r="A248" s="41" t="s">
        <v>646</v>
      </c>
      <c r="B248" s="41">
        <v>1</v>
      </c>
      <c r="C248" s="41" t="s">
        <v>647</v>
      </c>
      <c r="D248" s="41" t="s">
        <v>646</v>
      </c>
      <c r="E248" s="28">
        <v>1415181059075</v>
      </c>
      <c r="F248" s="28"/>
    </row>
    <row r="249" spans="1:6" x14ac:dyDescent="0.2">
      <c r="A249" s="41" t="s">
        <v>648</v>
      </c>
      <c r="B249" s="41">
        <v>4</v>
      </c>
      <c r="C249" s="24" t="s">
        <v>588</v>
      </c>
      <c r="D249" s="41" t="s">
        <v>648</v>
      </c>
      <c r="E249" s="28">
        <v>1415181059075</v>
      </c>
      <c r="F249" s="28"/>
    </row>
    <row r="250" spans="1:6" x14ac:dyDescent="0.2">
      <c r="A250" s="41" t="s">
        <v>649</v>
      </c>
      <c r="B250" s="41">
        <v>6</v>
      </c>
      <c r="C250" s="47" t="s">
        <v>650</v>
      </c>
      <c r="D250" s="41" t="s">
        <v>649</v>
      </c>
      <c r="E250" s="28">
        <v>9214969247</v>
      </c>
      <c r="F250" s="28"/>
    </row>
    <row r="251" spans="1:6" x14ac:dyDescent="0.2">
      <c r="A251" s="41" t="s">
        <v>841</v>
      </c>
      <c r="B251" s="41">
        <v>6</v>
      </c>
      <c r="C251" s="47" t="s">
        <v>842</v>
      </c>
      <c r="D251" s="41" t="s">
        <v>841</v>
      </c>
      <c r="E251" s="28">
        <v>0</v>
      </c>
      <c r="F251" s="28"/>
    </row>
    <row r="252" spans="1:6" x14ac:dyDescent="0.2">
      <c r="A252" s="41" t="s">
        <v>651</v>
      </c>
      <c r="B252" s="41">
        <v>6</v>
      </c>
      <c r="C252" s="47" t="s">
        <v>264</v>
      </c>
      <c r="D252" s="41" t="s">
        <v>651</v>
      </c>
      <c r="E252" s="28">
        <v>314228675518</v>
      </c>
      <c r="F252" s="28"/>
    </row>
    <row r="253" spans="1:6" x14ac:dyDescent="0.2">
      <c r="A253" s="41" t="s">
        <v>652</v>
      </c>
      <c r="B253" s="41">
        <v>6</v>
      </c>
      <c r="C253" s="47" t="s">
        <v>322</v>
      </c>
      <c r="D253" s="41" t="s">
        <v>652</v>
      </c>
      <c r="E253" s="28">
        <v>1021895328815</v>
      </c>
      <c r="F253" s="28"/>
    </row>
    <row r="254" spans="1:6" x14ac:dyDescent="0.2">
      <c r="A254" s="41" t="s">
        <v>653</v>
      </c>
      <c r="B254" s="41">
        <v>6</v>
      </c>
      <c r="C254" s="47" t="s">
        <v>654</v>
      </c>
      <c r="D254" s="41" t="s">
        <v>653</v>
      </c>
      <c r="E254" s="28">
        <v>251232</v>
      </c>
      <c r="F254" s="28"/>
    </row>
    <row r="255" spans="1:6" x14ac:dyDescent="0.2">
      <c r="A255" s="41" t="s">
        <v>655</v>
      </c>
      <c r="B255" s="41">
        <v>6</v>
      </c>
      <c r="C255" s="44" t="s">
        <v>843</v>
      </c>
      <c r="D255" s="41" t="s">
        <v>655</v>
      </c>
      <c r="E255" s="28">
        <v>315052722</v>
      </c>
      <c r="F255" s="28"/>
    </row>
    <row r="256" spans="1:6" x14ac:dyDescent="0.2">
      <c r="A256" s="41" t="s">
        <v>656</v>
      </c>
      <c r="B256" s="41">
        <v>6</v>
      </c>
      <c r="C256" s="48" t="s">
        <v>844</v>
      </c>
      <c r="D256" s="41" t="s">
        <v>656</v>
      </c>
      <c r="E256" s="28">
        <v>68374470228</v>
      </c>
      <c r="F256" s="28"/>
    </row>
    <row r="257" spans="1:6" x14ac:dyDescent="0.2">
      <c r="A257" s="41" t="s">
        <v>845</v>
      </c>
      <c r="B257" s="41">
        <v>6</v>
      </c>
      <c r="C257" s="47" t="s">
        <v>765</v>
      </c>
      <c r="D257" s="41" t="s">
        <v>845</v>
      </c>
      <c r="E257" s="28">
        <v>0</v>
      </c>
    </row>
    <row r="258" spans="1:6" x14ac:dyDescent="0.2">
      <c r="A258" s="41" t="s">
        <v>657</v>
      </c>
      <c r="B258" s="41">
        <v>6</v>
      </c>
      <c r="C258" s="47" t="s">
        <v>658</v>
      </c>
      <c r="D258" s="41" t="s">
        <v>657</v>
      </c>
      <c r="E258" s="28">
        <v>1152311313</v>
      </c>
    </row>
    <row r="259" spans="1:6" x14ac:dyDescent="0.2">
      <c r="A259" s="41" t="s">
        <v>659</v>
      </c>
      <c r="B259" s="41">
        <v>6</v>
      </c>
      <c r="C259" s="47" t="s">
        <v>848</v>
      </c>
      <c r="D259" s="41" t="s">
        <v>659</v>
      </c>
      <c r="E259" s="28">
        <v>0</v>
      </c>
    </row>
    <row r="260" spans="1:6" x14ac:dyDescent="0.2">
      <c r="E260" s="28"/>
      <c r="F260" s="28"/>
    </row>
    <row r="261" spans="1:6" x14ac:dyDescent="0.2">
      <c r="F261" s="28"/>
    </row>
    <row r="262" spans="1:6" x14ac:dyDescent="0.2">
      <c r="F262" s="28"/>
    </row>
    <row r="263" spans="1:6" x14ac:dyDescent="0.2">
      <c r="F263" s="28"/>
    </row>
    <row r="264" spans="1:6" x14ac:dyDescent="0.2">
      <c r="F264" s="28"/>
    </row>
    <row r="265" spans="1:6" x14ac:dyDescent="0.2">
      <c r="F265" s="28"/>
    </row>
    <row r="266" spans="1:6" x14ac:dyDescent="0.2">
      <c r="F266" s="28"/>
    </row>
    <row r="267" spans="1:6" x14ac:dyDescent="0.2">
      <c r="F267" s="28"/>
    </row>
    <row r="268" spans="1:6" x14ac:dyDescent="0.2">
      <c r="F268" s="28"/>
    </row>
    <row r="269" spans="1:6" x14ac:dyDescent="0.2">
      <c r="F269" s="28"/>
    </row>
  </sheetData>
  <autoFilter ref="A1:E259" xr:uid="{00000000-0009-0000-0000-00000F000000}">
    <sortState xmlns:xlrd2="http://schemas.microsoft.com/office/spreadsheetml/2017/richdata2" ref="A2:E259">
      <sortCondition ref="D1:D259"/>
    </sortState>
  </autoFilter>
  <pageMargins left="0.7" right="0.7" top="0.75" bottom="0.75" header="0.3" footer="0.3"/>
  <pageSetup paperSize="9" scale="8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1"/>
  <dimension ref="A1:E272"/>
  <sheetViews>
    <sheetView topLeftCell="A59" zoomScale="130" zoomScaleNormal="130" zoomScaleSheetLayoutView="100" workbookViewId="0">
      <selection activeCell="A69" sqref="A69"/>
    </sheetView>
  </sheetViews>
  <sheetFormatPr baseColWidth="10" defaultColWidth="11.42578125" defaultRowHeight="15" x14ac:dyDescent="0.25"/>
  <cols>
    <col min="1" max="2" width="12.85546875" style="41" customWidth="1"/>
    <col min="3" max="3" width="63.85546875" style="24" bestFit="1" customWidth="1"/>
    <col min="4" max="4" width="42.85546875" style="24" customWidth="1"/>
    <col min="5" max="5" width="21.140625" style="49" customWidth="1"/>
    <col min="258" max="259" width="12.85546875" customWidth="1"/>
    <col min="260" max="260" width="42.85546875" customWidth="1"/>
    <col min="261" max="261" width="21.140625" customWidth="1"/>
    <col min="514" max="515" width="12.85546875" customWidth="1"/>
    <col min="516" max="516" width="42.85546875" customWidth="1"/>
    <col min="517" max="517" width="21.140625" customWidth="1"/>
    <col min="770" max="771" width="12.85546875" customWidth="1"/>
    <col min="772" max="772" width="42.85546875" customWidth="1"/>
    <col min="773" max="773" width="21.140625" customWidth="1"/>
    <col min="1026" max="1027" width="12.85546875" customWidth="1"/>
    <col min="1028" max="1028" width="42.85546875" customWidth="1"/>
    <col min="1029" max="1029" width="21.140625" customWidth="1"/>
    <col min="1282" max="1283" width="12.85546875" customWidth="1"/>
    <col min="1284" max="1284" width="42.85546875" customWidth="1"/>
    <col min="1285" max="1285" width="21.140625" customWidth="1"/>
    <col min="1538" max="1539" width="12.85546875" customWidth="1"/>
    <col min="1540" max="1540" width="42.85546875" customWidth="1"/>
    <col min="1541" max="1541" width="21.140625" customWidth="1"/>
    <col min="1794" max="1795" width="12.85546875" customWidth="1"/>
    <col min="1796" max="1796" width="42.85546875" customWidth="1"/>
    <col min="1797" max="1797" width="21.140625" customWidth="1"/>
    <col min="2050" max="2051" width="12.85546875" customWidth="1"/>
    <col min="2052" max="2052" width="42.85546875" customWidth="1"/>
    <col min="2053" max="2053" width="21.140625" customWidth="1"/>
    <col min="2306" max="2307" width="12.85546875" customWidth="1"/>
    <col min="2308" max="2308" width="42.85546875" customWidth="1"/>
    <col min="2309" max="2309" width="21.140625" customWidth="1"/>
    <col min="2562" max="2563" width="12.85546875" customWidth="1"/>
    <col min="2564" max="2564" width="42.85546875" customWidth="1"/>
    <col min="2565" max="2565" width="21.140625" customWidth="1"/>
    <col min="2818" max="2819" width="12.85546875" customWidth="1"/>
    <col min="2820" max="2820" width="42.85546875" customWidth="1"/>
    <col min="2821" max="2821" width="21.140625" customWidth="1"/>
    <col min="3074" max="3075" width="12.85546875" customWidth="1"/>
    <col min="3076" max="3076" width="42.85546875" customWidth="1"/>
    <col min="3077" max="3077" width="21.140625" customWidth="1"/>
    <col min="3330" max="3331" width="12.85546875" customWidth="1"/>
    <col min="3332" max="3332" width="42.85546875" customWidth="1"/>
    <col min="3333" max="3333" width="21.140625" customWidth="1"/>
    <col min="3586" max="3587" width="12.85546875" customWidth="1"/>
    <col min="3588" max="3588" width="42.85546875" customWidth="1"/>
    <col min="3589" max="3589" width="21.140625" customWidth="1"/>
    <col min="3842" max="3843" width="12.85546875" customWidth="1"/>
    <col min="3844" max="3844" width="42.85546875" customWidth="1"/>
    <col min="3845" max="3845" width="21.140625" customWidth="1"/>
    <col min="4098" max="4099" width="12.85546875" customWidth="1"/>
    <col min="4100" max="4100" width="42.85546875" customWidth="1"/>
    <col min="4101" max="4101" width="21.140625" customWidth="1"/>
    <col min="4354" max="4355" width="12.85546875" customWidth="1"/>
    <col min="4356" max="4356" width="42.85546875" customWidth="1"/>
    <col min="4357" max="4357" width="21.140625" customWidth="1"/>
    <col min="4610" max="4611" width="12.85546875" customWidth="1"/>
    <col min="4612" max="4612" width="42.85546875" customWidth="1"/>
    <col min="4613" max="4613" width="21.140625" customWidth="1"/>
    <col min="4866" max="4867" width="12.85546875" customWidth="1"/>
    <col min="4868" max="4868" width="42.85546875" customWidth="1"/>
    <col min="4869" max="4869" width="21.140625" customWidth="1"/>
    <col min="5122" max="5123" width="12.85546875" customWidth="1"/>
    <col min="5124" max="5124" width="42.85546875" customWidth="1"/>
    <col min="5125" max="5125" width="21.140625" customWidth="1"/>
    <col min="5378" max="5379" width="12.85546875" customWidth="1"/>
    <col min="5380" max="5380" width="42.85546875" customWidth="1"/>
    <col min="5381" max="5381" width="21.140625" customWidth="1"/>
    <col min="5634" max="5635" width="12.85546875" customWidth="1"/>
    <col min="5636" max="5636" width="42.85546875" customWidth="1"/>
    <col min="5637" max="5637" width="21.140625" customWidth="1"/>
    <col min="5890" max="5891" width="12.85546875" customWidth="1"/>
    <col min="5892" max="5892" width="42.85546875" customWidth="1"/>
    <col min="5893" max="5893" width="21.140625" customWidth="1"/>
    <col min="6146" max="6147" width="12.85546875" customWidth="1"/>
    <col min="6148" max="6148" width="42.85546875" customWidth="1"/>
    <col min="6149" max="6149" width="21.140625" customWidth="1"/>
    <col min="6402" max="6403" width="12.85546875" customWidth="1"/>
    <col min="6404" max="6404" width="42.85546875" customWidth="1"/>
    <col min="6405" max="6405" width="21.140625" customWidth="1"/>
    <col min="6658" max="6659" width="12.85546875" customWidth="1"/>
    <col min="6660" max="6660" width="42.85546875" customWidth="1"/>
    <col min="6661" max="6661" width="21.140625" customWidth="1"/>
    <col min="6914" max="6915" width="12.85546875" customWidth="1"/>
    <col min="6916" max="6916" width="42.85546875" customWidth="1"/>
    <col min="6917" max="6917" width="21.140625" customWidth="1"/>
    <col min="7170" max="7171" width="12.85546875" customWidth="1"/>
    <col min="7172" max="7172" width="42.85546875" customWidth="1"/>
    <col min="7173" max="7173" width="21.140625" customWidth="1"/>
    <col min="7426" max="7427" width="12.85546875" customWidth="1"/>
    <col min="7428" max="7428" width="42.85546875" customWidth="1"/>
    <col min="7429" max="7429" width="21.140625" customWidth="1"/>
    <col min="7682" max="7683" width="12.85546875" customWidth="1"/>
    <col min="7684" max="7684" width="42.85546875" customWidth="1"/>
    <col min="7685" max="7685" width="21.140625" customWidth="1"/>
    <col min="7938" max="7939" width="12.85546875" customWidth="1"/>
    <col min="7940" max="7940" width="42.85546875" customWidth="1"/>
    <col min="7941" max="7941" width="21.140625" customWidth="1"/>
    <col min="8194" max="8195" width="12.85546875" customWidth="1"/>
    <col min="8196" max="8196" width="42.85546875" customWidth="1"/>
    <col min="8197" max="8197" width="21.140625" customWidth="1"/>
    <col min="8450" max="8451" width="12.85546875" customWidth="1"/>
    <col min="8452" max="8452" width="42.85546875" customWidth="1"/>
    <col min="8453" max="8453" width="21.140625" customWidth="1"/>
    <col min="8706" max="8707" width="12.85546875" customWidth="1"/>
    <col min="8708" max="8708" width="42.85546875" customWidth="1"/>
    <col min="8709" max="8709" width="21.140625" customWidth="1"/>
    <col min="8962" max="8963" width="12.85546875" customWidth="1"/>
    <col min="8964" max="8964" width="42.85546875" customWidth="1"/>
    <col min="8965" max="8965" width="21.140625" customWidth="1"/>
    <col min="9218" max="9219" width="12.85546875" customWidth="1"/>
    <col min="9220" max="9220" width="42.85546875" customWidth="1"/>
    <col min="9221" max="9221" width="21.140625" customWidth="1"/>
    <col min="9474" max="9475" width="12.85546875" customWidth="1"/>
    <col min="9476" max="9476" width="42.85546875" customWidth="1"/>
    <col min="9477" max="9477" width="21.140625" customWidth="1"/>
    <col min="9730" max="9731" width="12.85546875" customWidth="1"/>
    <col min="9732" max="9732" width="42.85546875" customWidth="1"/>
    <col min="9733" max="9733" width="21.140625" customWidth="1"/>
    <col min="9986" max="9987" width="12.85546875" customWidth="1"/>
    <col min="9988" max="9988" width="42.85546875" customWidth="1"/>
    <col min="9989" max="9989" width="21.140625" customWidth="1"/>
    <col min="10242" max="10243" width="12.85546875" customWidth="1"/>
    <col min="10244" max="10244" width="42.85546875" customWidth="1"/>
    <col min="10245" max="10245" width="21.140625" customWidth="1"/>
    <col min="10498" max="10499" width="12.85546875" customWidth="1"/>
    <col min="10500" max="10500" width="42.85546875" customWidth="1"/>
    <col min="10501" max="10501" width="21.140625" customWidth="1"/>
    <col min="10754" max="10755" width="12.85546875" customWidth="1"/>
    <col min="10756" max="10756" width="42.85546875" customWidth="1"/>
    <col min="10757" max="10757" width="21.140625" customWidth="1"/>
    <col min="11010" max="11011" width="12.85546875" customWidth="1"/>
    <col min="11012" max="11012" width="42.85546875" customWidth="1"/>
    <col min="11013" max="11013" width="21.140625" customWidth="1"/>
    <col min="11266" max="11267" width="12.85546875" customWidth="1"/>
    <col min="11268" max="11268" width="42.85546875" customWidth="1"/>
    <col min="11269" max="11269" width="21.140625" customWidth="1"/>
    <col min="11522" max="11523" width="12.85546875" customWidth="1"/>
    <col min="11524" max="11524" width="42.85546875" customWidth="1"/>
    <col min="11525" max="11525" width="21.140625" customWidth="1"/>
    <col min="11778" max="11779" width="12.85546875" customWidth="1"/>
    <col min="11780" max="11780" width="42.85546875" customWidth="1"/>
    <col min="11781" max="11781" width="21.140625" customWidth="1"/>
    <col min="12034" max="12035" width="12.85546875" customWidth="1"/>
    <col min="12036" max="12036" width="42.85546875" customWidth="1"/>
    <col min="12037" max="12037" width="21.140625" customWidth="1"/>
    <col min="12290" max="12291" width="12.85546875" customWidth="1"/>
    <col min="12292" max="12292" width="42.85546875" customWidth="1"/>
    <col min="12293" max="12293" width="21.140625" customWidth="1"/>
    <col min="12546" max="12547" width="12.85546875" customWidth="1"/>
    <col min="12548" max="12548" width="42.85546875" customWidth="1"/>
    <col min="12549" max="12549" width="21.140625" customWidth="1"/>
    <col min="12802" max="12803" width="12.85546875" customWidth="1"/>
    <col min="12804" max="12804" width="42.85546875" customWidth="1"/>
    <col min="12805" max="12805" width="21.140625" customWidth="1"/>
    <col min="13058" max="13059" width="12.85546875" customWidth="1"/>
    <col min="13060" max="13060" width="42.85546875" customWidth="1"/>
    <col min="13061" max="13061" width="21.140625" customWidth="1"/>
    <col min="13314" max="13315" width="12.85546875" customWidth="1"/>
    <col min="13316" max="13316" width="42.85546875" customWidth="1"/>
    <col min="13317" max="13317" width="21.140625" customWidth="1"/>
    <col min="13570" max="13571" width="12.85546875" customWidth="1"/>
    <col min="13572" max="13572" width="42.85546875" customWidth="1"/>
    <col min="13573" max="13573" width="21.140625" customWidth="1"/>
    <col min="13826" max="13827" width="12.85546875" customWidth="1"/>
    <col min="13828" max="13828" width="42.85546875" customWidth="1"/>
    <col min="13829" max="13829" width="21.140625" customWidth="1"/>
    <col min="14082" max="14083" width="12.85546875" customWidth="1"/>
    <col min="14084" max="14084" width="42.85546875" customWidth="1"/>
    <col min="14085" max="14085" width="21.140625" customWidth="1"/>
    <col min="14338" max="14339" width="12.85546875" customWidth="1"/>
    <col min="14340" max="14340" width="42.85546875" customWidth="1"/>
    <col min="14341" max="14341" width="21.140625" customWidth="1"/>
    <col min="14594" max="14595" width="12.85546875" customWidth="1"/>
    <col min="14596" max="14596" width="42.85546875" customWidth="1"/>
    <col min="14597" max="14597" width="21.140625" customWidth="1"/>
    <col min="14850" max="14851" width="12.85546875" customWidth="1"/>
    <col min="14852" max="14852" width="42.85546875" customWidth="1"/>
    <col min="14853" max="14853" width="21.140625" customWidth="1"/>
    <col min="15106" max="15107" width="12.85546875" customWidth="1"/>
    <col min="15108" max="15108" width="42.85546875" customWidth="1"/>
    <col min="15109" max="15109" width="21.140625" customWidth="1"/>
    <col min="15362" max="15363" width="12.85546875" customWidth="1"/>
    <col min="15364" max="15364" width="42.85546875" customWidth="1"/>
    <col min="15365" max="15365" width="21.140625" customWidth="1"/>
    <col min="15618" max="15619" width="12.85546875" customWidth="1"/>
    <col min="15620" max="15620" width="42.85546875" customWidth="1"/>
    <col min="15621" max="15621" width="21.140625" customWidth="1"/>
    <col min="15874" max="15875" width="12.85546875" customWidth="1"/>
    <col min="15876" max="15876" width="42.85546875" customWidth="1"/>
    <col min="15877" max="15877" width="21.140625" customWidth="1"/>
    <col min="16130" max="16131" width="12.85546875" customWidth="1"/>
    <col min="16132" max="16132" width="42.85546875" customWidth="1"/>
    <col min="16133" max="16133" width="21.140625" customWidth="1"/>
  </cols>
  <sheetData>
    <row r="1" spans="1:5" x14ac:dyDescent="0.25">
      <c r="A1" s="42" t="s">
        <v>25</v>
      </c>
      <c r="B1" s="42" t="s">
        <v>26</v>
      </c>
      <c r="C1" s="42" t="s">
        <v>27</v>
      </c>
      <c r="D1" s="42" t="s">
        <v>849</v>
      </c>
      <c r="E1" s="43" t="s">
        <v>30</v>
      </c>
    </row>
    <row r="2" spans="1:5" x14ac:dyDescent="0.25">
      <c r="A2" s="41" t="s">
        <v>34</v>
      </c>
      <c r="B2" s="41">
        <v>2</v>
      </c>
      <c r="C2" s="24" t="s">
        <v>35</v>
      </c>
      <c r="D2" s="24" t="s">
        <v>34</v>
      </c>
      <c r="E2" s="49">
        <v>15776347830</v>
      </c>
    </row>
    <row r="3" spans="1:5" x14ac:dyDescent="0.25">
      <c r="A3" s="41" t="s">
        <v>36</v>
      </c>
      <c r="B3" s="41">
        <v>4</v>
      </c>
      <c r="C3" s="24" t="s">
        <v>37</v>
      </c>
      <c r="D3" s="24" t="s">
        <v>36</v>
      </c>
      <c r="E3" s="50">
        <v>0</v>
      </c>
    </row>
    <row r="4" spans="1:5" x14ac:dyDescent="0.25">
      <c r="A4" s="41" t="s">
        <v>38</v>
      </c>
      <c r="B4" s="41">
        <v>6</v>
      </c>
      <c r="C4" s="24" t="s">
        <v>678</v>
      </c>
      <c r="D4" s="24" t="s">
        <v>38</v>
      </c>
      <c r="E4" s="50">
        <v>0</v>
      </c>
    </row>
    <row r="5" spans="1:5" x14ac:dyDescent="0.25">
      <c r="A5" s="41" t="s">
        <v>40</v>
      </c>
      <c r="B5" s="41">
        <v>4</v>
      </c>
      <c r="C5" s="24" t="s">
        <v>41</v>
      </c>
      <c r="D5" s="24" t="s">
        <v>40</v>
      </c>
      <c r="E5" s="49">
        <v>15776347830</v>
      </c>
    </row>
    <row r="6" spans="1:5" x14ac:dyDescent="0.25">
      <c r="A6" s="41" t="s">
        <v>42</v>
      </c>
      <c r="B6" s="41">
        <v>6</v>
      </c>
      <c r="C6" s="44" t="s">
        <v>679</v>
      </c>
      <c r="D6" s="24" t="s">
        <v>42</v>
      </c>
      <c r="E6" s="49">
        <v>15776347830</v>
      </c>
    </row>
    <row r="7" spans="1:5" x14ac:dyDescent="0.25">
      <c r="A7" s="41" t="s">
        <v>46</v>
      </c>
      <c r="B7" s="41">
        <v>2</v>
      </c>
      <c r="C7" s="24" t="s">
        <v>850</v>
      </c>
      <c r="D7" s="24" t="s">
        <v>46</v>
      </c>
      <c r="E7" s="49">
        <v>23515190270</v>
      </c>
    </row>
    <row r="8" spans="1:5" x14ac:dyDescent="0.25">
      <c r="A8" s="41" t="s">
        <v>126</v>
      </c>
      <c r="B8" s="41">
        <v>2</v>
      </c>
      <c r="C8" s="24" t="s">
        <v>127</v>
      </c>
      <c r="D8" s="24" t="s">
        <v>126</v>
      </c>
      <c r="E8" s="49">
        <v>811293776</v>
      </c>
    </row>
    <row r="9" spans="1:5" x14ac:dyDescent="0.25">
      <c r="A9" s="41" t="s">
        <v>128</v>
      </c>
      <c r="B9" s="41">
        <v>4</v>
      </c>
      <c r="C9" s="24" t="s">
        <v>129</v>
      </c>
      <c r="D9" s="24" t="s">
        <v>128</v>
      </c>
      <c r="E9" s="49">
        <v>838369397</v>
      </c>
    </row>
    <row r="10" spans="1:5" x14ac:dyDescent="0.25">
      <c r="A10" s="41" t="s">
        <v>130</v>
      </c>
      <c r="B10" s="41">
        <v>6</v>
      </c>
      <c r="C10" s="24" t="s">
        <v>704</v>
      </c>
      <c r="D10" s="24" t="s">
        <v>130</v>
      </c>
      <c r="E10" s="49">
        <v>791294205</v>
      </c>
    </row>
    <row r="11" spans="1:5" x14ac:dyDescent="0.25">
      <c r="A11" s="41" t="s">
        <v>132</v>
      </c>
      <c r="B11" s="41">
        <v>6</v>
      </c>
      <c r="C11" s="24" t="s">
        <v>705</v>
      </c>
      <c r="D11" s="24" t="s">
        <v>132</v>
      </c>
      <c r="E11" s="49">
        <v>47075192</v>
      </c>
    </row>
    <row r="12" spans="1:5" x14ac:dyDescent="0.25">
      <c r="A12" s="41" t="s">
        <v>134</v>
      </c>
      <c r="B12" s="41">
        <v>4</v>
      </c>
      <c r="C12" s="24" t="s">
        <v>135</v>
      </c>
      <c r="D12" s="24" t="s">
        <v>134</v>
      </c>
      <c r="E12" s="49">
        <v>75877721</v>
      </c>
    </row>
    <row r="13" spans="1:5" x14ac:dyDescent="0.25">
      <c r="A13" s="41" t="s">
        <v>136</v>
      </c>
      <c r="B13" s="41">
        <v>6</v>
      </c>
      <c r="C13" s="24" t="s">
        <v>706</v>
      </c>
      <c r="D13" s="24" t="s">
        <v>136</v>
      </c>
      <c r="E13" s="49">
        <v>28974284</v>
      </c>
    </row>
    <row r="14" spans="1:5" x14ac:dyDescent="0.25">
      <c r="A14" s="41" t="s">
        <v>138</v>
      </c>
      <c r="B14" s="41">
        <v>6</v>
      </c>
      <c r="C14" s="24" t="s">
        <v>707</v>
      </c>
      <c r="D14" s="24" t="s">
        <v>138</v>
      </c>
      <c r="E14" s="49">
        <v>46903437</v>
      </c>
    </row>
    <row r="15" spans="1:5" x14ac:dyDescent="0.25">
      <c r="A15" s="41" t="s">
        <v>140</v>
      </c>
      <c r="B15" s="41">
        <v>4</v>
      </c>
      <c r="C15" s="24" t="s">
        <v>141</v>
      </c>
      <c r="D15" s="24" t="s">
        <v>140</v>
      </c>
      <c r="E15" s="49">
        <v>1689800</v>
      </c>
    </row>
    <row r="16" spans="1:5" x14ac:dyDescent="0.25">
      <c r="A16" s="41" t="s">
        <v>142</v>
      </c>
      <c r="B16" s="41">
        <v>6</v>
      </c>
      <c r="C16" s="24" t="s">
        <v>708</v>
      </c>
      <c r="D16" s="24" t="s">
        <v>142</v>
      </c>
      <c r="E16" s="49">
        <v>1689800</v>
      </c>
    </row>
    <row r="17" spans="1:5" x14ac:dyDescent="0.25">
      <c r="A17" s="41" t="s">
        <v>144</v>
      </c>
      <c r="B17" s="41">
        <v>4</v>
      </c>
      <c r="C17" s="24" t="s">
        <v>145</v>
      </c>
      <c r="D17" s="24" t="s">
        <v>144</v>
      </c>
      <c r="E17" s="49">
        <v>-104643142</v>
      </c>
    </row>
    <row r="18" spans="1:5" x14ac:dyDescent="0.25">
      <c r="A18" s="41" t="s">
        <v>146</v>
      </c>
      <c r="B18" s="41">
        <v>6</v>
      </c>
      <c r="C18" s="24" t="s">
        <v>709</v>
      </c>
      <c r="D18" s="24" t="s">
        <v>146</v>
      </c>
      <c r="E18" s="49">
        <v>-86050982</v>
      </c>
    </row>
    <row r="19" spans="1:5" x14ac:dyDescent="0.25">
      <c r="A19" s="41" t="s">
        <v>147</v>
      </c>
      <c r="B19" s="41">
        <v>6</v>
      </c>
      <c r="C19" s="24" t="s">
        <v>710</v>
      </c>
      <c r="D19" s="24" t="s">
        <v>147</v>
      </c>
      <c r="E19" s="49">
        <v>-18521752</v>
      </c>
    </row>
    <row r="20" spans="1:5" x14ac:dyDescent="0.25">
      <c r="A20" s="41" t="s">
        <v>148</v>
      </c>
      <c r="B20" s="41">
        <v>6</v>
      </c>
      <c r="C20" s="24" t="s">
        <v>711</v>
      </c>
      <c r="D20" s="24" t="s">
        <v>148</v>
      </c>
      <c r="E20" s="49">
        <v>-70408</v>
      </c>
    </row>
    <row r="21" spans="1:5" x14ac:dyDescent="0.25">
      <c r="A21" s="41" t="s">
        <v>149</v>
      </c>
      <c r="B21" s="41">
        <v>2</v>
      </c>
      <c r="C21" s="24" t="s">
        <v>150</v>
      </c>
      <c r="D21" s="24" t="s">
        <v>149</v>
      </c>
      <c r="E21" s="49">
        <v>45240369308</v>
      </c>
    </row>
    <row r="22" spans="1:5" x14ac:dyDescent="0.25">
      <c r="A22" s="41" t="s">
        <v>151</v>
      </c>
      <c r="B22" s="41">
        <v>4</v>
      </c>
      <c r="C22" s="24" t="s">
        <v>152</v>
      </c>
      <c r="D22" s="24" t="s">
        <v>151</v>
      </c>
      <c r="E22" s="49">
        <v>0</v>
      </c>
    </row>
    <row r="23" spans="1:5" x14ac:dyDescent="0.25">
      <c r="A23" s="41" t="s">
        <v>153</v>
      </c>
      <c r="B23" s="41">
        <v>6</v>
      </c>
      <c r="C23" s="24" t="s">
        <v>712</v>
      </c>
      <c r="D23" s="24" t="s">
        <v>153</v>
      </c>
      <c r="E23" s="49">
        <v>0</v>
      </c>
    </row>
    <row r="24" spans="1:5" x14ac:dyDescent="0.25">
      <c r="A24" s="41" t="s">
        <v>164</v>
      </c>
      <c r="B24" s="41">
        <v>4</v>
      </c>
      <c r="C24" s="24" t="s">
        <v>165</v>
      </c>
      <c r="D24" s="24" t="s">
        <v>164</v>
      </c>
      <c r="E24" s="49">
        <v>295682847</v>
      </c>
    </row>
    <row r="25" spans="1:5" x14ac:dyDescent="0.25">
      <c r="A25" s="41" t="s">
        <v>166</v>
      </c>
      <c r="B25" s="41">
        <v>6</v>
      </c>
      <c r="C25" s="24" t="s">
        <v>713</v>
      </c>
      <c r="D25" s="24" t="s">
        <v>166</v>
      </c>
      <c r="E25" s="49">
        <v>295682847</v>
      </c>
    </row>
    <row r="26" spans="1:5" x14ac:dyDescent="0.25">
      <c r="A26" s="41" t="s">
        <v>168</v>
      </c>
      <c r="B26" s="41">
        <v>4</v>
      </c>
      <c r="C26" s="24" t="s">
        <v>169</v>
      </c>
      <c r="D26" s="24" t="s">
        <v>168</v>
      </c>
      <c r="E26" s="49">
        <v>21852000000</v>
      </c>
    </row>
    <row r="27" spans="1:5" x14ac:dyDescent="0.25">
      <c r="A27" s="41" t="s">
        <v>172</v>
      </c>
      <c r="B27" s="41">
        <v>4</v>
      </c>
      <c r="C27" s="24" t="s">
        <v>173</v>
      </c>
      <c r="D27" s="24" t="s">
        <v>172</v>
      </c>
      <c r="E27" s="49">
        <v>0</v>
      </c>
    </row>
    <row r="28" spans="1:5" x14ac:dyDescent="0.25">
      <c r="A28" s="41" t="s">
        <v>176</v>
      </c>
      <c r="B28" s="41">
        <v>2</v>
      </c>
      <c r="C28" s="51" t="s">
        <v>851</v>
      </c>
      <c r="D28" s="24" t="s">
        <v>176</v>
      </c>
      <c r="E28" s="49">
        <v>-11000000000</v>
      </c>
    </row>
    <row r="29" spans="1:5" x14ac:dyDescent="0.25">
      <c r="A29" s="41" t="s">
        <v>182</v>
      </c>
      <c r="B29" s="41">
        <v>2</v>
      </c>
      <c r="C29" s="24" t="s">
        <v>183</v>
      </c>
      <c r="D29" s="24" t="s">
        <v>182</v>
      </c>
      <c r="E29" s="49">
        <v>-641941572086</v>
      </c>
    </row>
    <row r="30" spans="1:5" x14ac:dyDescent="0.25">
      <c r="A30" s="41" t="s">
        <v>184</v>
      </c>
      <c r="B30" s="41">
        <v>4</v>
      </c>
      <c r="C30" s="24" t="s">
        <v>185</v>
      </c>
      <c r="D30" s="24" t="s">
        <v>184</v>
      </c>
      <c r="E30" s="49">
        <v>-724582586</v>
      </c>
    </row>
    <row r="31" spans="1:5" x14ac:dyDescent="0.25">
      <c r="A31" s="41" t="s">
        <v>186</v>
      </c>
      <c r="B31" s="41">
        <v>6</v>
      </c>
      <c r="C31" s="24" t="s">
        <v>714</v>
      </c>
      <c r="D31" s="24" t="s">
        <v>186</v>
      </c>
      <c r="E31" s="49">
        <v>-724582586</v>
      </c>
    </row>
    <row r="32" spans="1:5" x14ac:dyDescent="0.25">
      <c r="A32" s="41" t="s">
        <v>228</v>
      </c>
      <c r="B32" s="41">
        <v>4</v>
      </c>
      <c r="C32" s="24" t="s">
        <v>229</v>
      </c>
      <c r="D32" s="24" t="s">
        <v>228</v>
      </c>
      <c r="E32" s="49">
        <v>-752821057</v>
      </c>
    </row>
    <row r="33" spans="1:5" x14ac:dyDescent="0.25">
      <c r="A33" s="41" t="s">
        <v>230</v>
      </c>
      <c r="B33" s="41">
        <v>6</v>
      </c>
      <c r="C33" s="24" t="s">
        <v>730</v>
      </c>
      <c r="D33" s="24" t="s">
        <v>230</v>
      </c>
      <c r="E33" s="49">
        <v>-523220257</v>
      </c>
    </row>
    <row r="34" spans="1:5" x14ac:dyDescent="0.25">
      <c r="A34" s="41" t="s">
        <v>231</v>
      </c>
      <c r="B34" s="41">
        <v>6</v>
      </c>
      <c r="C34" s="24" t="s">
        <v>729</v>
      </c>
      <c r="D34" s="24" t="s">
        <v>231</v>
      </c>
      <c r="E34" s="49">
        <v>0</v>
      </c>
    </row>
    <row r="35" spans="1:5" x14ac:dyDescent="0.25">
      <c r="A35" s="41" t="s">
        <v>233</v>
      </c>
      <c r="B35" s="41">
        <v>6</v>
      </c>
      <c r="C35" s="24" t="s">
        <v>14</v>
      </c>
      <c r="D35" s="24" t="s">
        <v>233</v>
      </c>
      <c r="E35" s="49">
        <v>-140577387</v>
      </c>
    </row>
    <row r="36" spans="1:5" x14ac:dyDescent="0.25">
      <c r="A36" s="41" t="s">
        <v>234</v>
      </c>
      <c r="B36" s="41">
        <v>6</v>
      </c>
      <c r="C36" s="24" t="s">
        <v>716</v>
      </c>
      <c r="D36" s="24" t="s">
        <v>234</v>
      </c>
      <c r="E36" s="49">
        <v>-10142025</v>
      </c>
    </row>
    <row r="37" spans="1:5" x14ac:dyDescent="0.25">
      <c r="A37" s="41" t="s">
        <v>235</v>
      </c>
      <c r="B37" s="41">
        <v>6</v>
      </c>
      <c r="C37" s="24" t="s">
        <v>732</v>
      </c>
      <c r="D37" s="24" t="s">
        <v>235</v>
      </c>
      <c r="E37" s="49">
        <v>-13707646</v>
      </c>
    </row>
    <row r="38" spans="1:5" x14ac:dyDescent="0.25">
      <c r="A38" s="41" t="s">
        <v>237</v>
      </c>
      <c r="B38" s="41">
        <v>6</v>
      </c>
      <c r="C38" s="24" t="s">
        <v>733</v>
      </c>
      <c r="D38" s="24" t="s">
        <v>237</v>
      </c>
      <c r="E38" s="49">
        <v>-32454600</v>
      </c>
    </row>
    <row r="39" spans="1:5" x14ac:dyDescent="0.25">
      <c r="A39" s="41" t="s">
        <v>239</v>
      </c>
      <c r="B39" s="41">
        <v>6</v>
      </c>
      <c r="C39" s="24" t="s">
        <v>734</v>
      </c>
      <c r="D39" s="24" t="s">
        <v>239</v>
      </c>
      <c r="E39" s="49">
        <v>-28497940</v>
      </c>
    </row>
    <row r="40" spans="1:5" x14ac:dyDescent="0.25">
      <c r="A40" s="41" t="s">
        <v>241</v>
      </c>
      <c r="B40" s="41">
        <v>6</v>
      </c>
      <c r="C40" s="24" t="s">
        <v>735</v>
      </c>
      <c r="D40" s="24" t="s">
        <v>241</v>
      </c>
      <c r="E40" s="49">
        <v>-4221202</v>
      </c>
    </row>
    <row r="41" spans="1:5" x14ac:dyDescent="0.25">
      <c r="A41" s="41" t="s">
        <v>670</v>
      </c>
      <c r="B41" s="41">
        <v>4</v>
      </c>
      <c r="D41" s="24" t="s">
        <v>670</v>
      </c>
      <c r="E41" s="49">
        <v>0</v>
      </c>
    </row>
    <row r="42" spans="1:5" x14ac:dyDescent="0.25">
      <c r="A42" s="41" t="s">
        <v>736</v>
      </c>
      <c r="B42" s="41">
        <v>6</v>
      </c>
      <c r="D42" s="24" t="s">
        <v>736</v>
      </c>
      <c r="E42" s="49">
        <v>0</v>
      </c>
    </row>
    <row r="43" spans="1:5" x14ac:dyDescent="0.25">
      <c r="A43" s="41" t="s">
        <v>247</v>
      </c>
      <c r="B43" s="41">
        <v>4</v>
      </c>
      <c r="C43" s="24" t="s">
        <v>248</v>
      </c>
      <c r="D43" s="24" t="s">
        <v>247</v>
      </c>
      <c r="E43" s="49">
        <v>-2167310701</v>
      </c>
    </row>
    <row r="44" spans="1:5" x14ac:dyDescent="0.25">
      <c r="A44" s="41" t="s">
        <v>249</v>
      </c>
      <c r="B44" s="41">
        <v>6</v>
      </c>
      <c r="C44" s="24" t="s">
        <v>741</v>
      </c>
      <c r="D44" s="24" t="s">
        <v>249</v>
      </c>
      <c r="E44" s="49">
        <v>-1344795116</v>
      </c>
    </row>
    <row r="45" spans="1:5" x14ac:dyDescent="0.25">
      <c r="A45" s="41" t="s">
        <v>742</v>
      </c>
      <c r="B45" s="41">
        <v>6</v>
      </c>
      <c r="C45" s="24" t="s">
        <v>852</v>
      </c>
      <c r="D45" s="24" t="s">
        <v>742</v>
      </c>
      <c r="E45" s="49">
        <v>0</v>
      </c>
    </row>
    <row r="46" spans="1:5" x14ac:dyDescent="0.25">
      <c r="A46" s="41" t="s">
        <v>251</v>
      </c>
      <c r="B46" s="41">
        <v>6</v>
      </c>
      <c r="C46" s="24" t="s">
        <v>744</v>
      </c>
      <c r="D46" s="24" t="s">
        <v>251</v>
      </c>
      <c r="E46" s="49">
        <v>-8961363</v>
      </c>
    </row>
    <row r="47" spans="1:5" x14ac:dyDescent="0.25">
      <c r="A47" s="41" t="s">
        <v>285</v>
      </c>
      <c r="B47" s="41">
        <v>2</v>
      </c>
      <c r="C47" s="24" t="s">
        <v>286</v>
      </c>
      <c r="D47" s="24" t="s">
        <v>285</v>
      </c>
      <c r="E47" s="49">
        <v>-2121484056</v>
      </c>
    </row>
    <row r="48" spans="1:5" x14ac:dyDescent="0.25">
      <c r="A48" s="41" t="s">
        <v>325</v>
      </c>
      <c r="B48" s="41">
        <v>2</v>
      </c>
      <c r="C48" s="24" t="s">
        <v>326</v>
      </c>
      <c r="D48" s="24" t="s">
        <v>325</v>
      </c>
      <c r="E48" s="49">
        <v>-328734987168.19678</v>
      </c>
    </row>
    <row r="49" spans="1:5" x14ac:dyDescent="0.25">
      <c r="A49" s="41" t="s">
        <v>337</v>
      </c>
      <c r="B49" s="41">
        <v>4</v>
      </c>
      <c r="C49" s="24" t="s">
        <v>338</v>
      </c>
      <c r="D49" s="24" t="s">
        <v>337</v>
      </c>
      <c r="E49" s="49">
        <v>-328423337219.19678</v>
      </c>
    </row>
    <row r="50" spans="1:5" x14ac:dyDescent="0.25">
      <c r="A50" s="41" t="s">
        <v>340</v>
      </c>
      <c r="B50" s="41">
        <v>6</v>
      </c>
      <c r="C50" s="24" t="s">
        <v>853</v>
      </c>
      <c r="D50" s="24" t="s">
        <v>340</v>
      </c>
      <c r="E50" s="49">
        <v>-113877500631</v>
      </c>
    </row>
    <row r="51" spans="1:5" x14ac:dyDescent="0.25">
      <c r="A51" s="41" t="s">
        <v>342</v>
      </c>
      <c r="B51" s="41">
        <v>6</v>
      </c>
      <c r="C51" s="24" t="s">
        <v>854</v>
      </c>
      <c r="D51" s="24" t="s">
        <v>342</v>
      </c>
      <c r="E51" s="49">
        <v>-52881577541</v>
      </c>
    </row>
    <row r="52" spans="1:5" x14ac:dyDescent="0.25">
      <c r="A52" s="41" t="s">
        <v>344</v>
      </c>
      <c r="B52" s="41">
        <v>6</v>
      </c>
      <c r="C52" s="24" t="s">
        <v>855</v>
      </c>
      <c r="D52" s="24" t="s">
        <v>344</v>
      </c>
      <c r="E52" s="49">
        <v>-2417031138.1967988</v>
      </c>
    </row>
    <row r="53" spans="1:5" x14ac:dyDescent="0.25">
      <c r="A53" s="41" t="s">
        <v>346</v>
      </c>
      <c r="B53" s="41">
        <v>6</v>
      </c>
      <c r="C53" s="24" t="s">
        <v>347</v>
      </c>
      <c r="D53" s="24" t="s">
        <v>346</v>
      </c>
      <c r="E53" s="49">
        <v>-159247227909</v>
      </c>
    </row>
    <row r="54" spans="1:5" x14ac:dyDescent="0.25">
      <c r="A54" s="41" t="s">
        <v>348</v>
      </c>
      <c r="B54" s="41">
        <v>2</v>
      </c>
      <c r="C54" s="24" t="s">
        <v>349</v>
      </c>
      <c r="D54" s="24" t="s">
        <v>348</v>
      </c>
      <c r="E54" s="49">
        <v>-111834861</v>
      </c>
    </row>
    <row r="55" spans="1:5" x14ac:dyDescent="0.25">
      <c r="A55" s="41" t="s">
        <v>674</v>
      </c>
      <c r="B55" s="41">
        <v>4</v>
      </c>
      <c r="C55" s="24" t="s">
        <v>675</v>
      </c>
      <c r="D55" s="24" t="s">
        <v>674</v>
      </c>
      <c r="E55" s="49">
        <v>0</v>
      </c>
    </row>
    <row r="56" spans="1:5" x14ac:dyDescent="0.25">
      <c r="A56" s="41" t="s">
        <v>767</v>
      </c>
      <c r="B56" s="41">
        <v>6</v>
      </c>
      <c r="C56" s="24" t="s">
        <v>768</v>
      </c>
      <c r="D56" s="24" t="s">
        <v>767</v>
      </c>
      <c r="E56" s="49">
        <v>0</v>
      </c>
    </row>
    <row r="57" spans="1:5" x14ac:dyDescent="0.25">
      <c r="A57" s="41" t="s">
        <v>354</v>
      </c>
      <c r="B57" s="41">
        <v>2</v>
      </c>
      <c r="C57" s="24" t="s">
        <v>355</v>
      </c>
      <c r="D57" s="24" t="s">
        <v>354</v>
      </c>
      <c r="E57" s="49">
        <v>277239245463</v>
      </c>
    </row>
    <row r="58" spans="1:5" x14ac:dyDescent="0.25">
      <c r="A58" s="41" t="s">
        <v>356</v>
      </c>
      <c r="B58" s="41">
        <v>4</v>
      </c>
      <c r="C58" s="24" t="s">
        <v>357</v>
      </c>
      <c r="D58" s="24" t="s">
        <v>356</v>
      </c>
      <c r="E58" s="49">
        <v>-81852000000</v>
      </c>
    </row>
    <row r="59" spans="1:5" x14ac:dyDescent="0.25">
      <c r="A59" s="41" t="s">
        <v>358</v>
      </c>
      <c r="B59" s="41">
        <v>6</v>
      </c>
      <c r="C59" s="24" t="s">
        <v>769</v>
      </c>
      <c r="D59" s="24" t="s">
        <v>358</v>
      </c>
      <c r="E59" s="49">
        <v>-581852000000</v>
      </c>
    </row>
    <row r="60" spans="1:5" x14ac:dyDescent="0.25">
      <c r="A60" s="41" t="s">
        <v>770</v>
      </c>
      <c r="B60" s="41">
        <v>6</v>
      </c>
      <c r="C60" s="24" t="s">
        <v>771</v>
      </c>
      <c r="D60" s="24" t="s">
        <v>770</v>
      </c>
      <c r="E60" s="49">
        <v>0</v>
      </c>
    </row>
    <row r="61" spans="1:5" x14ac:dyDescent="0.25">
      <c r="A61" s="41" t="s">
        <v>362</v>
      </c>
      <c r="B61" s="41">
        <v>4</v>
      </c>
      <c r="C61" s="24" t="s">
        <v>363</v>
      </c>
      <c r="D61" s="24" t="s">
        <v>362</v>
      </c>
      <c r="E61" s="49">
        <v>370723152544</v>
      </c>
    </row>
    <row r="62" spans="1:5" x14ac:dyDescent="0.25">
      <c r="A62" s="41" t="s">
        <v>375</v>
      </c>
      <c r="B62" s="41">
        <v>2</v>
      </c>
      <c r="C62" s="24" t="s">
        <v>376</v>
      </c>
      <c r="D62" s="24" t="s">
        <v>375</v>
      </c>
      <c r="E62" s="49">
        <v>-1444415524848</v>
      </c>
    </row>
    <row r="63" spans="1:5" x14ac:dyDescent="0.25">
      <c r="A63" s="41" t="s">
        <v>377</v>
      </c>
      <c r="B63" s="41">
        <v>4</v>
      </c>
      <c r="C63" s="24" t="s">
        <v>378</v>
      </c>
      <c r="D63" s="24" t="s">
        <v>377</v>
      </c>
      <c r="E63" s="49">
        <v>-1444415524848</v>
      </c>
    </row>
    <row r="64" spans="1:5" x14ac:dyDescent="0.25">
      <c r="A64" s="41" t="s">
        <v>379</v>
      </c>
      <c r="B64" s="41">
        <v>6</v>
      </c>
      <c r="C64" s="24" t="s">
        <v>773</v>
      </c>
      <c r="D64" s="24" t="s">
        <v>379</v>
      </c>
      <c r="E64" s="49">
        <v>-53518151467</v>
      </c>
    </row>
    <row r="65" spans="1:5" x14ac:dyDescent="0.25">
      <c r="A65" s="41" t="s">
        <v>383</v>
      </c>
      <c r="B65" s="41">
        <v>6</v>
      </c>
      <c r="C65" s="24" t="s">
        <v>774</v>
      </c>
      <c r="D65" s="24" t="s">
        <v>383</v>
      </c>
      <c r="E65" s="49">
        <v>-1314961781294</v>
      </c>
    </row>
    <row r="66" spans="1:5" x14ac:dyDescent="0.25">
      <c r="A66" s="41" t="s">
        <v>385</v>
      </c>
      <c r="B66" s="41">
        <v>6</v>
      </c>
      <c r="C66" s="24" t="s">
        <v>775</v>
      </c>
      <c r="D66" s="24" t="s">
        <v>385</v>
      </c>
      <c r="E66" s="49">
        <v>-3415028835</v>
      </c>
    </row>
    <row r="67" spans="1:5" x14ac:dyDescent="0.25">
      <c r="A67" s="41" t="s">
        <v>387</v>
      </c>
      <c r="B67" s="41">
        <v>6</v>
      </c>
      <c r="C67" s="24" t="s">
        <v>689</v>
      </c>
      <c r="D67" s="24" t="s">
        <v>387</v>
      </c>
      <c r="E67" s="49">
        <v>-8587753423</v>
      </c>
    </row>
    <row r="68" spans="1:5" x14ac:dyDescent="0.25">
      <c r="A68" s="41" t="s">
        <v>388</v>
      </c>
      <c r="B68" s="41">
        <v>6</v>
      </c>
      <c r="C68" s="24" t="s">
        <v>15</v>
      </c>
      <c r="D68" s="24" t="s">
        <v>388</v>
      </c>
      <c r="E68" s="49">
        <v>-1974759539</v>
      </c>
    </row>
    <row r="69" spans="1:5" x14ac:dyDescent="0.25">
      <c r="A69" s="41" t="s">
        <v>390</v>
      </c>
      <c r="B69" s="41">
        <v>6</v>
      </c>
      <c r="C69" s="24" t="s">
        <v>695</v>
      </c>
      <c r="D69" s="24" t="s">
        <v>390</v>
      </c>
      <c r="E69" s="49">
        <v>-61736828794</v>
      </c>
    </row>
    <row r="70" spans="1:5" x14ac:dyDescent="0.25">
      <c r="A70" s="41" t="s">
        <v>391</v>
      </c>
      <c r="B70" s="41">
        <v>2</v>
      </c>
      <c r="C70" s="24" t="s">
        <v>392</v>
      </c>
      <c r="D70" s="24" t="s">
        <v>391</v>
      </c>
      <c r="E70" s="49">
        <v>-21241116141</v>
      </c>
    </row>
    <row r="71" spans="1:5" x14ac:dyDescent="0.25">
      <c r="A71" s="41" t="s">
        <v>403</v>
      </c>
      <c r="B71" s="41">
        <v>4</v>
      </c>
      <c r="C71" s="24" t="s">
        <v>394</v>
      </c>
      <c r="D71" s="24" t="s">
        <v>403</v>
      </c>
      <c r="E71" s="49">
        <v>0</v>
      </c>
    </row>
    <row r="72" spans="1:5" x14ac:dyDescent="0.25">
      <c r="A72" s="41" t="s">
        <v>404</v>
      </c>
      <c r="B72" s="41">
        <v>6</v>
      </c>
      <c r="C72" s="24" t="s">
        <v>776</v>
      </c>
      <c r="D72" s="24" t="s">
        <v>404</v>
      </c>
      <c r="E72" s="49">
        <v>0</v>
      </c>
    </row>
    <row r="73" spans="1:5" x14ac:dyDescent="0.25">
      <c r="A73" s="41" t="s">
        <v>405</v>
      </c>
      <c r="B73" s="41">
        <v>6</v>
      </c>
      <c r="C73" s="24" t="s">
        <v>777</v>
      </c>
      <c r="D73" s="24" t="s">
        <v>405</v>
      </c>
      <c r="E73" s="49">
        <v>0</v>
      </c>
    </row>
    <row r="74" spans="1:5" x14ac:dyDescent="0.25">
      <c r="A74" s="41" t="s">
        <v>406</v>
      </c>
      <c r="B74" s="41">
        <v>6</v>
      </c>
      <c r="C74" s="24" t="s">
        <v>778</v>
      </c>
      <c r="D74" s="24" t="s">
        <v>406</v>
      </c>
      <c r="E74" s="49">
        <v>0</v>
      </c>
    </row>
    <row r="75" spans="1:5" x14ac:dyDescent="0.25">
      <c r="A75" s="41" t="s">
        <v>407</v>
      </c>
      <c r="B75" s="41">
        <v>4</v>
      </c>
      <c r="C75" s="24" t="s">
        <v>856</v>
      </c>
      <c r="D75" s="24" t="s">
        <v>407</v>
      </c>
      <c r="E75" s="49">
        <v>-17063965695</v>
      </c>
    </row>
    <row r="76" spans="1:5" x14ac:dyDescent="0.25">
      <c r="A76" s="41" t="s">
        <v>409</v>
      </c>
      <c r="B76" s="41">
        <v>6</v>
      </c>
      <c r="C76" s="24" t="s">
        <v>779</v>
      </c>
      <c r="D76" s="24" t="s">
        <v>409</v>
      </c>
      <c r="E76" s="49">
        <v>0</v>
      </c>
    </row>
    <row r="77" spans="1:5" x14ac:dyDescent="0.25">
      <c r="A77" s="41" t="s">
        <v>427</v>
      </c>
      <c r="B77" s="41">
        <v>2</v>
      </c>
      <c r="C77" s="24" t="s">
        <v>428</v>
      </c>
      <c r="D77" s="24" t="s">
        <v>427</v>
      </c>
      <c r="E77" s="49">
        <v>52360396508</v>
      </c>
    </row>
    <row r="78" spans="1:5" x14ac:dyDescent="0.25">
      <c r="A78" s="41" t="s">
        <v>429</v>
      </c>
      <c r="B78" s="41">
        <v>4</v>
      </c>
      <c r="C78" s="24" t="s">
        <v>430</v>
      </c>
      <c r="D78" s="24" t="s">
        <v>429</v>
      </c>
      <c r="E78" s="49">
        <v>15031965102</v>
      </c>
    </row>
    <row r="79" spans="1:5" x14ac:dyDescent="0.25">
      <c r="A79" s="41" t="s">
        <v>431</v>
      </c>
      <c r="B79" s="41">
        <v>6</v>
      </c>
      <c r="C79" s="24" t="s">
        <v>785</v>
      </c>
      <c r="D79" s="24" t="s">
        <v>431</v>
      </c>
      <c r="E79" s="49">
        <v>13274933685</v>
      </c>
    </row>
    <row r="80" spans="1:5" x14ac:dyDescent="0.25">
      <c r="A80" s="41" t="s">
        <v>441</v>
      </c>
      <c r="B80" s="41">
        <v>6</v>
      </c>
      <c r="C80" s="24" t="s">
        <v>789</v>
      </c>
      <c r="D80" s="24" t="s">
        <v>441</v>
      </c>
      <c r="E80" s="49">
        <v>458858194</v>
      </c>
    </row>
    <row r="81" spans="1:5" x14ac:dyDescent="0.25">
      <c r="A81" s="41" t="s">
        <v>449</v>
      </c>
      <c r="B81" s="41">
        <v>6</v>
      </c>
      <c r="C81" s="24" t="s">
        <v>793</v>
      </c>
      <c r="D81" s="24" t="s">
        <v>449</v>
      </c>
      <c r="E81" s="49">
        <v>1298173223</v>
      </c>
    </row>
    <row r="82" spans="1:5" x14ac:dyDescent="0.25">
      <c r="A82" s="41" t="s">
        <v>456</v>
      </c>
      <c r="B82" s="41">
        <v>4</v>
      </c>
      <c r="C82" s="24" t="s">
        <v>457</v>
      </c>
      <c r="D82" s="24" t="s">
        <v>456</v>
      </c>
      <c r="E82" s="49">
        <v>300526352</v>
      </c>
    </row>
    <row r="83" spans="1:5" x14ac:dyDescent="0.25">
      <c r="A83" s="41" t="s">
        <v>458</v>
      </c>
      <c r="B83" s="41">
        <v>6</v>
      </c>
      <c r="C83" s="24" t="s">
        <v>15</v>
      </c>
      <c r="D83" s="24" t="s">
        <v>458</v>
      </c>
      <c r="E83" s="49">
        <v>177748252</v>
      </c>
    </row>
    <row r="84" spans="1:5" x14ac:dyDescent="0.25">
      <c r="A84" s="41" t="s">
        <v>459</v>
      </c>
      <c r="B84" s="41">
        <v>6</v>
      </c>
      <c r="C84" s="24" t="s">
        <v>796</v>
      </c>
      <c r="D84" s="24" t="s">
        <v>459</v>
      </c>
      <c r="E84" s="49">
        <v>122778100</v>
      </c>
    </row>
    <row r="85" spans="1:5" x14ac:dyDescent="0.25">
      <c r="A85" s="41" t="s">
        <v>461</v>
      </c>
      <c r="B85" s="41">
        <v>4</v>
      </c>
      <c r="C85" s="24" t="s">
        <v>462</v>
      </c>
      <c r="D85" s="24" t="s">
        <v>461</v>
      </c>
      <c r="E85" s="49">
        <v>3895433800</v>
      </c>
    </row>
    <row r="86" spans="1:5" x14ac:dyDescent="0.25">
      <c r="A86" s="41" t="s">
        <v>463</v>
      </c>
      <c r="B86" s="41">
        <v>6</v>
      </c>
      <c r="C86" s="24" t="s">
        <v>797</v>
      </c>
      <c r="D86" s="24" t="s">
        <v>463</v>
      </c>
      <c r="E86" s="49">
        <v>602294390</v>
      </c>
    </row>
    <row r="87" spans="1:5" x14ac:dyDescent="0.25">
      <c r="A87" s="41" t="s">
        <v>464</v>
      </c>
      <c r="B87" s="41">
        <v>6</v>
      </c>
      <c r="C87" s="24" t="s">
        <v>798</v>
      </c>
      <c r="D87" s="24" t="s">
        <v>464</v>
      </c>
      <c r="E87" s="49">
        <v>1298477957</v>
      </c>
    </row>
    <row r="88" spans="1:5" x14ac:dyDescent="0.25">
      <c r="A88" s="41" t="s">
        <v>466</v>
      </c>
      <c r="B88" s="41">
        <v>6</v>
      </c>
      <c r="C88" s="24" t="s">
        <v>799</v>
      </c>
      <c r="D88" s="24" t="s">
        <v>466</v>
      </c>
      <c r="E88" s="49">
        <v>204626718</v>
      </c>
    </row>
    <row r="89" spans="1:5" x14ac:dyDescent="0.25">
      <c r="A89" s="41" t="s">
        <v>468</v>
      </c>
      <c r="B89" s="41">
        <v>6</v>
      </c>
      <c r="C89" s="24" t="s">
        <v>800</v>
      </c>
      <c r="D89" s="24" t="s">
        <v>468</v>
      </c>
      <c r="E89" s="49">
        <v>372461693</v>
      </c>
    </row>
    <row r="90" spans="1:5" x14ac:dyDescent="0.25">
      <c r="A90" s="41" t="s">
        <v>470</v>
      </c>
      <c r="B90" s="41">
        <v>6</v>
      </c>
      <c r="C90" s="24" t="s">
        <v>801</v>
      </c>
      <c r="D90" s="24" t="s">
        <v>470</v>
      </c>
      <c r="E90" s="49">
        <v>1417573042</v>
      </c>
    </row>
    <row r="91" spans="1:5" x14ac:dyDescent="0.25">
      <c r="A91" s="41" t="s">
        <v>472</v>
      </c>
      <c r="B91" s="41">
        <v>4</v>
      </c>
      <c r="C91" s="24" t="s">
        <v>473</v>
      </c>
      <c r="D91" s="24" t="s">
        <v>472</v>
      </c>
      <c r="E91" s="49">
        <v>752191533</v>
      </c>
    </row>
    <row r="92" spans="1:5" x14ac:dyDescent="0.25">
      <c r="A92" s="41" t="s">
        <v>474</v>
      </c>
      <c r="B92" s="41">
        <v>6</v>
      </c>
      <c r="C92" s="24" t="s">
        <v>802</v>
      </c>
      <c r="D92" s="24" t="s">
        <v>474</v>
      </c>
      <c r="E92" s="49">
        <v>451253122</v>
      </c>
    </row>
    <row r="93" spans="1:5" x14ac:dyDescent="0.25">
      <c r="A93" s="41" t="s">
        <v>476</v>
      </c>
      <c r="B93" s="41">
        <v>6</v>
      </c>
      <c r="C93" s="24" t="s">
        <v>803</v>
      </c>
      <c r="D93" s="24" t="s">
        <v>476</v>
      </c>
      <c r="E93" s="49">
        <v>300938411</v>
      </c>
    </row>
    <row r="94" spans="1:5" x14ac:dyDescent="0.25">
      <c r="A94" s="41" t="s">
        <v>494</v>
      </c>
      <c r="B94" s="41">
        <v>4</v>
      </c>
      <c r="C94" s="24" t="s">
        <v>495</v>
      </c>
      <c r="D94" s="24" t="s">
        <v>494</v>
      </c>
      <c r="E94" s="49">
        <v>17469963753</v>
      </c>
    </row>
    <row r="95" spans="1:5" x14ac:dyDescent="0.25">
      <c r="A95" s="41" t="s">
        <v>498</v>
      </c>
      <c r="B95" s="41">
        <v>6</v>
      </c>
      <c r="C95" s="24" t="s">
        <v>857</v>
      </c>
      <c r="D95" s="24" t="s">
        <v>498</v>
      </c>
      <c r="E95" s="49">
        <v>278206691</v>
      </c>
    </row>
    <row r="96" spans="1:5" x14ac:dyDescent="0.25">
      <c r="A96" s="41" t="s">
        <v>500</v>
      </c>
      <c r="B96" s="41">
        <v>6</v>
      </c>
      <c r="C96" s="24" t="s">
        <v>806</v>
      </c>
      <c r="D96" s="24" t="s">
        <v>500</v>
      </c>
      <c r="E96" s="49">
        <v>244161980</v>
      </c>
    </row>
    <row r="97" spans="1:5" x14ac:dyDescent="0.25">
      <c r="A97" s="41" t="s">
        <v>502</v>
      </c>
      <c r="B97" s="41">
        <v>6</v>
      </c>
      <c r="C97" s="24" t="s">
        <v>807</v>
      </c>
      <c r="D97" s="24" t="s">
        <v>502</v>
      </c>
      <c r="E97" s="49">
        <v>503087859</v>
      </c>
    </row>
    <row r="98" spans="1:5" x14ac:dyDescent="0.25">
      <c r="A98" s="41" t="s">
        <v>504</v>
      </c>
      <c r="B98" s="41">
        <v>6</v>
      </c>
      <c r="C98" s="24" t="s">
        <v>808</v>
      </c>
      <c r="D98" s="24" t="s">
        <v>504</v>
      </c>
      <c r="E98" s="49">
        <v>60235593</v>
      </c>
    </row>
    <row r="99" spans="1:5" x14ac:dyDescent="0.25">
      <c r="A99" s="41" t="s">
        <v>506</v>
      </c>
      <c r="B99" s="41">
        <v>6</v>
      </c>
      <c r="C99" s="24" t="s">
        <v>715</v>
      </c>
      <c r="D99" s="24" t="s">
        <v>506</v>
      </c>
      <c r="E99" s="49">
        <v>2797673542</v>
      </c>
    </row>
    <row r="100" spans="1:5" x14ac:dyDescent="0.25">
      <c r="A100" s="41" t="s">
        <v>507</v>
      </c>
      <c r="B100" s="41">
        <v>6</v>
      </c>
      <c r="C100" s="24" t="s">
        <v>809</v>
      </c>
      <c r="D100" s="24" t="s">
        <v>507</v>
      </c>
      <c r="E100" s="49">
        <v>5502047988</v>
      </c>
    </row>
    <row r="101" spans="1:5" x14ac:dyDescent="0.25">
      <c r="A101" s="41" t="s">
        <v>509</v>
      </c>
      <c r="B101" s="41">
        <v>6</v>
      </c>
      <c r="C101" s="24" t="s">
        <v>717</v>
      </c>
      <c r="D101" s="24" t="s">
        <v>509</v>
      </c>
      <c r="E101" s="49">
        <v>206800</v>
      </c>
    </row>
    <row r="102" spans="1:5" x14ac:dyDescent="0.25">
      <c r="A102" s="41" t="s">
        <v>510</v>
      </c>
      <c r="B102" s="41">
        <v>6</v>
      </c>
      <c r="C102" s="24" t="s">
        <v>810</v>
      </c>
      <c r="D102" s="24" t="s">
        <v>510</v>
      </c>
      <c r="E102" s="49">
        <v>344092146</v>
      </c>
    </row>
    <row r="103" spans="1:5" x14ac:dyDescent="0.25">
      <c r="A103" s="41" t="s">
        <v>512</v>
      </c>
      <c r="B103" s="41">
        <v>6</v>
      </c>
      <c r="C103" s="24" t="s">
        <v>811</v>
      </c>
      <c r="D103" s="24" t="s">
        <v>512</v>
      </c>
      <c r="E103" s="49">
        <v>148793101</v>
      </c>
    </row>
    <row r="104" spans="1:5" x14ac:dyDescent="0.25">
      <c r="A104" s="41" t="s">
        <v>514</v>
      </c>
      <c r="B104" s="41">
        <v>6</v>
      </c>
      <c r="C104" s="24" t="s">
        <v>812</v>
      </c>
      <c r="D104" s="24" t="s">
        <v>514</v>
      </c>
      <c r="E104" s="49">
        <v>2970931</v>
      </c>
    </row>
    <row r="105" spans="1:5" x14ac:dyDescent="0.25">
      <c r="A105" s="41" t="s">
        <v>516</v>
      </c>
      <c r="B105" s="41">
        <v>6</v>
      </c>
      <c r="C105" s="24" t="s">
        <v>813</v>
      </c>
      <c r="D105" s="24" t="s">
        <v>516</v>
      </c>
      <c r="E105" s="49">
        <v>215077</v>
      </c>
    </row>
    <row r="106" spans="1:5" x14ac:dyDescent="0.25">
      <c r="A106" s="41" t="s">
        <v>518</v>
      </c>
      <c r="B106" s="41">
        <v>6</v>
      </c>
      <c r="C106" s="24" t="s">
        <v>814</v>
      </c>
      <c r="D106" s="24" t="s">
        <v>518</v>
      </c>
      <c r="E106" s="49">
        <v>10102368</v>
      </c>
    </row>
    <row r="107" spans="1:5" x14ac:dyDescent="0.25">
      <c r="A107" s="41" t="s">
        <v>520</v>
      </c>
      <c r="B107" s="41">
        <v>6</v>
      </c>
      <c r="C107" s="24" t="s">
        <v>815</v>
      </c>
      <c r="D107" s="24" t="s">
        <v>520</v>
      </c>
      <c r="E107" s="49">
        <v>28735332</v>
      </c>
    </row>
    <row r="108" spans="1:5" x14ac:dyDescent="0.25">
      <c r="A108" s="41" t="s">
        <v>522</v>
      </c>
      <c r="B108" s="41">
        <v>6</v>
      </c>
      <c r="C108" s="24" t="s">
        <v>816</v>
      </c>
      <c r="D108" s="24" t="s">
        <v>522</v>
      </c>
      <c r="E108" s="49">
        <v>952605826</v>
      </c>
    </row>
    <row r="109" spans="1:5" x14ac:dyDescent="0.25">
      <c r="A109" s="41" t="s">
        <v>524</v>
      </c>
      <c r="B109" s="41">
        <v>6</v>
      </c>
      <c r="C109" s="24" t="s">
        <v>817</v>
      </c>
      <c r="D109" s="24" t="s">
        <v>524</v>
      </c>
      <c r="E109" s="49">
        <v>238379554</v>
      </c>
    </row>
    <row r="110" spans="1:5" x14ac:dyDescent="0.25">
      <c r="A110" s="41" t="s">
        <v>526</v>
      </c>
      <c r="B110" s="41">
        <v>6</v>
      </c>
      <c r="C110" s="24" t="s">
        <v>818</v>
      </c>
      <c r="D110" s="24" t="s">
        <v>526</v>
      </c>
      <c r="E110" s="49">
        <v>188916594</v>
      </c>
    </row>
    <row r="111" spans="1:5" x14ac:dyDescent="0.25">
      <c r="A111" s="41" t="s">
        <v>528</v>
      </c>
      <c r="B111" s="41">
        <v>6</v>
      </c>
      <c r="C111" s="24" t="s">
        <v>819</v>
      </c>
      <c r="D111" s="24" t="s">
        <v>528</v>
      </c>
      <c r="E111" s="49">
        <v>234392637</v>
      </c>
    </row>
    <row r="112" spans="1:5" x14ac:dyDescent="0.25">
      <c r="A112" s="41" t="s">
        <v>530</v>
      </c>
      <c r="B112" s="41">
        <v>6</v>
      </c>
      <c r="C112" s="24" t="s">
        <v>820</v>
      </c>
      <c r="D112" s="24" t="s">
        <v>530</v>
      </c>
      <c r="E112" s="49">
        <v>4771209</v>
      </c>
    </row>
    <row r="113" spans="1:5" x14ac:dyDescent="0.25">
      <c r="A113" s="41" t="s">
        <v>532</v>
      </c>
      <c r="B113" s="41">
        <v>6</v>
      </c>
      <c r="C113" s="44" t="s">
        <v>858</v>
      </c>
      <c r="D113" s="24" t="s">
        <v>532</v>
      </c>
      <c r="E113" s="49">
        <v>0</v>
      </c>
    </row>
    <row r="114" spans="1:5" x14ac:dyDescent="0.25">
      <c r="A114" s="41" t="s">
        <v>537</v>
      </c>
      <c r="B114" s="41">
        <v>4</v>
      </c>
      <c r="C114" s="24" t="s">
        <v>538</v>
      </c>
      <c r="D114" s="24" t="s">
        <v>537</v>
      </c>
      <c r="E114" s="49">
        <v>172991490</v>
      </c>
    </row>
    <row r="115" spans="1:5" x14ac:dyDescent="0.25">
      <c r="A115" s="41" t="s">
        <v>541</v>
      </c>
      <c r="B115" s="41">
        <v>6</v>
      </c>
      <c r="C115" s="44" t="s">
        <v>737</v>
      </c>
      <c r="D115" s="24" t="s">
        <v>541</v>
      </c>
      <c r="E115" s="49">
        <v>168163867</v>
      </c>
    </row>
    <row r="116" spans="1:5" x14ac:dyDescent="0.25">
      <c r="A116" s="41" t="s">
        <v>545</v>
      </c>
      <c r="B116" s="41">
        <v>6</v>
      </c>
      <c r="C116" s="24" t="s">
        <v>824</v>
      </c>
      <c r="D116" s="24" t="s">
        <v>545</v>
      </c>
      <c r="E116" s="49">
        <v>4827623</v>
      </c>
    </row>
    <row r="117" spans="1:5" x14ac:dyDescent="0.25">
      <c r="A117" s="41" t="s">
        <v>547</v>
      </c>
      <c r="B117" s="41">
        <v>2</v>
      </c>
      <c r="C117" s="24" t="s">
        <v>548</v>
      </c>
      <c r="D117" s="24" t="s">
        <v>547</v>
      </c>
      <c r="E117" s="49">
        <v>3342558844</v>
      </c>
    </row>
    <row r="118" spans="1:5" s="52" customFormat="1" x14ac:dyDescent="0.25">
      <c r="A118" s="41" t="s">
        <v>607</v>
      </c>
      <c r="B118" s="41">
        <v>2</v>
      </c>
      <c r="C118" s="24" t="s">
        <v>608</v>
      </c>
      <c r="D118" s="24" t="s">
        <v>607</v>
      </c>
      <c r="E118" s="49">
        <v>5413823466</v>
      </c>
    </row>
    <row r="119" spans="1:5" s="52" customFormat="1" x14ac:dyDescent="0.25">
      <c r="A119" s="41" t="s">
        <v>613</v>
      </c>
      <c r="B119" s="41">
        <v>4</v>
      </c>
      <c r="C119" s="24" t="s">
        <v>232</v>
      </c>
      <c r="D119" s="24" t="s">
        <v>613</v>
      </c>
      <c r="E119" s="49">
        <v>50714950</v>
      </c>
    </row>
    <row r="120" spans="1:5" x14ac:dyDescent="0.25">
      <c r="A120" s="41" t="s">
        <v>676</v>
      </c>
      <c r="B120" s="41">
        <v>4</v>
      </c>
      <c r="C120" s="24" t="s">
        <v>677</v>
      </c>
      <c r="D120" s="24" t="s">
        <v>676</v>
      </c>
      <c r="E120" s="49">
        <v>0</v>
      </c>
    </row>
    <row r="121" spans="1:5" x14ac:dyDescent="0.25">
      <c r="A121" s="41" t="s">
        <v>832</v>
      </c>
      <c r="B121" s="41">
        <v>6</v>
      </c>
      <c r="C121" s="44" t="s">
        <v>833</v>
      </c>
      <c r="D121" s="24" t="s">
        <v>832</v>
      </c>
      <c r="E121" s="49">
        <v>0</v>
      </c>
    </row>
    <row r="122" spans="1:5" x14ac:dyDescent="0.25">
      <c r="A122" s="41" t="s">
        <v>58</v>
      </c>
      <c r="B122" s="41">
        <v>2</v>
      </c>
      <c r="C122" s="24" t="s">
        <v>59</v>
      </c>
      <c r="D122" s="24" t="e">
        <v>#N/A</v>
      </c>
      <c r="E122" s="49">
        <v>226327325388</v>
      </c>
    </row>
    <row r="123" spans="1:5" x14ac:dyDescent="0.25">
      <c r="A123" s="41" t="s">
        <v>585</v>
      </c>
      <c r="B123" s="41">
        <v>2</v>
      </c>
      <c r="C123" s="24" t="s">
        <v>586</v>
      </c>
      <c r="D123" s="24" t="e">
        <v>#N/A</v>
      </c>
      <c r="E123" s="49">
        <v>1799539968307</v>
      </c>
    </row>
    <row r="124" spans="1:5" x14ac:dyDescent="0.25">
      <c r="A124" s="41" t="s">
        <v>859</v>
      </c>
      <c r="B124" s="41">
        <v>2</v>
      </c>
      <c r="C124" s="24" t="s">
        <v>860</v>
      </c>
      <c r="D124" s="24" t="e">
        <v>#N/A</v>
      </c>
      <c r="E124" s="49">
        <v>0</v>
      </c>
    </row>
    <row r="125" spans="1:5" x14ac:dyDescent="0.25">
      <c r="A125" s="41" t="s">
        <v>861</v>
      </c>
      <c r="B125" s="41">
        <v>4</v>
      </c>
      <c r="C125" s="24" t="s">
        <v>862</v>
      </c>
      <c r="D125" s="24" t="e">
        <v>#N/A</v>
      </c>
      <c r="E125" s="49">
        <v>0</v>
      </c>
    </row>
    <row r="126" spans="1:5" x14ac:dyDescent="0.25">
      <c r="A126" s="41" t="s">
        <v>56</v>
      </c>
      <c r="B126" s="41">
        <v>4</v>
      </c>
      <c r="C126" s="24" t="s">
        <v>57</v>
      </c>
      <c r="D126" s="24" t="e">
        <v>#N/A</v>
      </c>
      <c r="E126" s="49">
        <v>23515190270</v>
      </c>
    </row>
    <row r="127" spans="1:5" x14ac:dyDescent="0.25">
      <c r="A127" s="41" t="s">
        <v>60</v>
      </c>
      <c r="B127" s="41">
        <v>4</v>
      </c>
      <c r="C127" s="24" t="s">
        <v>61</v>
      </c>
      <c r="D127" s="24" t="e">
        <v>#N/A</v>
      </c>
      <c r="E127" s="49">
        <v>229292006033</v>
      </c>
    </row>
    <row r="128" spans="1:5" x14ac:dyDescent="0.25">
      <c r="A128" s="41" t="s">
        <v>78</v>
      </c>
      <c r="B128" s="41">
        <v>4</v>
      </c>
      <c r="C128" s="24" t="s">
        <v>79</v>
      </c>
      <c r="D128" s="24" t="e">
        <v>#N/A</v>
      </c>
      <c r="E128" s="49">
        <v>664097297</v>
      </c>
    </row>
    <row r="129" spans="1:5" x14ac:dyDescent="0.25">
      <c r="A129" s="41" t="s">
        <v>863</v>
      </c>
      <c r="B129" s="41">
        <v>4</v>
      </c>
      <c r="C129" s="24" t="s">
        <v>864</v>
      </c>
      <c r="D129" s="24" t="e">
        <v>#N/A</v>
      </c>
      <c r="E129" s="49">
        <v>0</v>
      </c>
    </row>
    <row r="130" spans="1:5" x14ac:dyDescent="0.25">
      <c r="A130" s="41" t="s">
        <v>81</v>
      </c>
      <c r="B130" s="41">
        <v>4</v>
      </c>
      <c r="C130" s="24" t="s">
        <v>82</v>
      </c>
      <c r="D130" s="24" t="e">
        <v>#N/A</v>
      </c>
      <c r="E130" s="49">
        <v>-3628777942</v>
      </c>
    </row>
    <row r="131" spans="1:5" x14ac:dyDescent="0.25">
      <c r="A131" s="41" t="s">
        <v>155</v>
      </c>
      <c r="B131" s="41">
        <v>4</v>
      </c>
      <c r="C131" s="24" t="s">
        <v>100</v>
      </c>
      <c r="D131" s="24" t="e">
        <v>#N/A</v>
      </c>
      <c r="E131" s="49">
        <v>19413825417</v>
      </c>
    </row>
    <row r="132" spans="1:5" x14ac:dyDescent="0.25">
      <c r="A132" s="41" t="s">
        <v>159</v>
      </c>
      <c r="B132" s="41">
        <v>4</v>
      </c>
      <c r="C132" s="24" t="s">
        <v>106</v>
      </c>
      <c r="D132" s="24" t="e">
        <v>#N/A</v>
      </c>
      <c r="E132" s="49">
        <v>248755665</v>
      </c>
    </row>
    <row r="133" spans="1:5" x14ac:dyDescent="0.25">
      <c r="A133" s="41" t="s">
        <v>161</v>
      </c>
      <c r="B133" s="41">
        <v>4</v>
      </c>
      <c r="C133" s="24" t="s">
        <v>110</v>
      </c>
      <c r="D133" s="24" t="e">
        <v>#N/A</v>
      </c>
      <c r="E133" s="49">
        <v>3430105379</v>
      </c>
    </row>
    <row r="134" spans="1:5" x14ac:dyDescent="0.25">
      <c r="A134" s="41" t="s">
        <v>178</v>
      </c>
      <c r="B134" s="41">
        <v>4</v>
      </c>
      <c r="C134" s="24" t="s">
        <v>179</v>
      </c>
      <c r="D134" s="24" t="e">
        <v>#N/A</v>
      </c>
      <c r="E134" s="49">
        <v>-11000000000</v>
      </c>
    </row>
    <row r="135" spans="1:5" x14ac:dyDescent="0.25">
      <c r="A135" s="41" t="s">
        <v>188</v>
      </c>
      <c r="B135" s="41">
        <v>4</v>
      </c>
      <c r="C135" s="24" t="s">
        <v>189</v>
      </c>
      <c r="D135" s="24" t="e">
        <v>#N/A</v>
      </c>
      <c r="E135" s="49">
        <v>-222819082</v>
      </c>
    </row>
    <row r="136" spans="1:5" x14ac:dyDescent="0.25">
      <c r="A136" s="41" t="s">
        <v>255</v>
      </c>
      <c r="B136" s="41">
        <v>4</v>
      </c>
      <c r="C136" s="24" t="s">
        <v>256</v>
      </c>
      <c r="D136" s="24" t="e">
        <v>#N/A</v>
      </c>
      <c r="E136" s="49">
        <v>-632774601960</v>
      </c>
    </row>
    <row r="137" spans="1:5" x14ac:dyDescent="0.25">
      <c r="A137" s="41" t="s">
        <v>271</v>
      </c>
      <c r="B137" s="41">
        <v>4</v>
      </c>
      <c r="C137" s="24" t="s">
        <v>272</v>
      </c>
      <c r="D137" s="24" t="e">
        <v>#N/A</v>
      </c>
      <c r="E137" s="49">
        <v>-5299436700</v>
      </c>
    </row>
    <row r="138" spans="1:5" x14ac:dyDescent="0.25">
      <c r="A138" s="41" t="s">
        <v>299</v>
      </c>
      <c r="B138" s="41">
        <v>4</v>
      </c>
      <c r="C138" s="53" t="s">
        <v>300</v>
      </c>
      <c r="D138" s="24" t="e">
        <v>#N/A</v>
      </c>
      <c r="E138" s="49">
        <v>-2121484056</v>
      </c>
    </row>
    <row r="139" spans="1:5" x14ac:dyDescent="0.25">
      <c r="A139" s="41" t="s">
        <v>327</v>
      </c>
      <c r="B139" s="41">
        <v>4</v>
      </c>
      <c r="C139" s="24" t="s">
        <v>328</v>
      </c>
      <c r="D139" s="24" t="e">
        <v>#N/A</v>
      </c>
      <c r="E139" s="49">
        <v>-311649949</v>
      </c>
    </row>
    <row r="140" spans="1:5" x14ac:dyDescent="0.25">
      <c r="A140" s="41" t="s">
        <v>350</v>
      </c>
      <c r="B140" s="41">
        <v>4</v>
      </c>
      <c r="C140" s="24" t="s">
        <v>244</v>
      </c>
      <c r="D140" s="24" t="e">
        <v>#N/A</v>
      </c>
      <c r="E140" s="49">
        <v>-111834861</v>
      </c>
    </row>
    <row r="141" spans="1:5" x14ac:dyDescent="0.25">
      <c r="A141" s="41" t="s">
        <v>367</v>
      </c>
      <c r="B141" s="41">
        <v>4</v>
      </c>
      <c r="C141" s="24" t="s">
        <v>368</v>
      </c>
      <c r="D141" s="24" t="e">
        <v>#N/A</v>
      </c>
      <c r="E141" s="49">
        <v>-11631907081</v>
      </c>
    </row>
    <row r="142" spans="1:5" x14ac:dyDescent="0.25">
      <c r="A142" s="41" t="s">
        <v>393</v>
      </c>
      <c r="B142" s="41">
        <v>4</v>
      </c>
      <c r="C142" s="24" t="s">
        <v>394</v>
      </c>
      <c r="D142" s="24" t="e">
        <v>#N/A</v>
      </c>
      <c r="E142" s="49">
        <v>-4177150446</v>
      </c>
    </row>
    <row r="143" spans="1:5" x14ac:dyDescent="0.25">
      <c r="A143" s="41" t="s">
        <v>865</v>
      </c>
      <c r="B143" s="41">
        <v>4</v>
      </c>
      <c r="C143" s="24" t="s">
        <v>677</v>
      </c>
      <c r="D143" s="24" t="e">
        <v>#N/A</v>
      </c>
      <c r="E143" s="49">
        <v>0</v>
      </c>
    </row>
    <row r="144" spans="1:5" x14ac:dyDescent="0.25">
      <c r="A144" s="41" t="s">
        <v>478</v>
      </c>
      <c r="B144" s="41">
        <v>4</v>
      </c>
      <c r="C144" s="24" t="s">
        <v>479</v>
      </c>
      <c r="D144" s="24" t="e">
        <v>#N/A</v>
      </c>
      <c r="E144" s="49">
        <v>3268496544</v>
      </c>
    </row>
    <row r="145" spans="1:5" x14ac:dyDescent="0.25">
      <c r="A145" s="41" t="s">
        <v>484</v>
      </c>
      <c r="B145" s="41">
        <v>4</v>
      </c>
      <c r="C145" s="24" t="s">
        <v>485</v>
      </c>
      <c r="D145" s="24" t="e">
        <v>#N/A</v>
      </c>
      <c r="E145" s="49">
        <v>11468827934</v>
      </c>
    </row>
    <row r="146" spans="1:5" x14ac:dyDescent="0.25">
      <c r="A146" s="41" t="s">
        <v>571</v>
      </c>
      <c r="B146" s="41">
        <v>4</v>
      </c>
      <c r="C146" s="24" t="s">
        <v>572</v>
      </c>
      <c r="D146" s="24" t="e">
        <v>#N/A</v>
      </c>
      <c r="E146" s="49">
        <v>2535769364</v>
      </c>
    </row>
    <row r="147" spans="1:5" x14ac:dyDescent="0.25">
      <c r="A147" s="41" t="s">
        <v>575</v>
      </c>
      <c r="B147" s="41">
        <v>4</v>
      </c>
      <c r="C147" s="24" t="s">
        <v>560</v>
      </c>
      <c r="D147" s="24" t="e">
        <v>#N/A</v>
      </c>
      <c r="E147" s="49">
        <v>109068276</v>
      </c>
    </row>
    <row r="148" spans="1:5" ht="14.25" customHeight="1" x14ac:dyDescent="0.25">
      <c r="A148" s="41" t="s">
        <v>579</v>
      </c>
      <c r="B148" s="41">
        <v>4</v>
      </c>
      <c r="C148" s="24" t="s">
        <v>580</v>
      </c>
      <c r="D148" s="24" t="e">
        <v>#N/A</v>
      </c>
      <c r="E148" s="49">
        <v>303673970</v>
      </c>
    </row>
    <row r="149" spans="1:5" x14ac:dyDescent="0.25">
      <c r="A149" s="41" t="s">
        <v>582</v>
      </c>
      <c r="B149" s="41">
        <v>4</v>
      </c>
      <c r="C149" s="24" t="s">
        <v>557</v>
      </c>
      <c r="D149" s="24" t="e">
        <v>#N/A</v>
      </c>
      <c r="E149" s="49">
        <v>394047234</v>
      </c>
    </row>
    <row r="150" spans="1:5" x14ac:dyDescent="0.25">
      <c r="A150" s="41" t="s">
        <v>587</v>
      </c>
      <c r="B150" s="41">
        <v>4</v>
      </c>
      <c r="C150" s="24" t="s">
        <v>588</v>
      </c>
      <c r="D150" s="24" t="e">
        <v>#N/A</v>
      </c>
      <c r="E150" s="49">
        <v>1799539968307</v>
      </c>
    </row>
    <row r="151" spans="1:5" x14ac:dyDescent="0.25">
      <c r="A151" s="41" t="s">
        <v>620</v>
      </c>
      <c r="B151" s="41">
        <v>4</v>
      </c>
      <c r="C151" s="24" t="s">
        <v>394</v>
      </c>
      <c r="D151" s="24" t="e">
        <v>#N/A</v>
      </c>
      <c r="E151" s="49">
        <v>5152753212</v>
      </c>
    </row>
    <row r="152" spans="1:5" x14ac:dyDescent="0.25">
      <c r="A152" s="41" t="s">
        <v>637</v>
      </c>
      <c r="B152" s="41">
        <v>4</v>
      </c>
      <c r="C152" s="24" t="s">
        <v>638</v>
      </c>
      <c r="D152" s="24" t="e">
        <v>#N/A</v>
      </c>
      <c r="E152" s="49">
        <v>210355304</v>
      </c>
    </row>
    <row r="153" spans="1:5" x14ac:dyDescent="0.25">
      <c r="A153" s="41" t="s">
        <v>866</v>
      </c>
      <c r="B153" s="41">
        <v>4</v>
      </c>
      <c r="C153" s="53" t="s">
        <v>860</v>
      </c>
      <c r="D153" s="24" t="e">
        <v>#N/A</v>
      </c>
      <c r="E153" s="49">
        <v>0</v>
      </c>
    </row>
    <row r="154" spans="1:5" x14ac:dyDescent="0.25">
      <c r="A154" s="41" t="s">
        <v>867</v>
      </c>
      <c r="B154" s="41">
        <v>6</v>
      </c>
      <c r="C154" s="24" t="s">
        <v>868</v>
      </c>
      <c r="D154" s="24" t="e">
        <v>#N/A</v>
      </c>
      <c r="E154" s="49">
        <v>0</v>
      </c>
    </row>
    <row r="155" spans="1:5" x14ac:dyDescent="0.25">
      <c r="A155" s="41" t="s">
        <v>869</v>
      </c>
      <c r="B155" s="41">
        <v>6</v>
      </c>
      <c r="C155" s="51" t="s">
        <v>870</v>
      </c>
      <c r="D155" s="24" t="e">
        <v>#N/A</v>
      </c>
      <c r="E155" s="49">
        <v>0</v>
      </c>
    </row>
    <row r="156" spans="1:5" x14ac:dyDescent="0.25">
      <c r="A156" s="41" t="s">
        <v>871</v>
      </c>
      <c r="B156" s="41">
        <v>6</v>
      </c>
      <c r="C156" s="51" t="s">
        <v>872</v>
      </c>
      <c r="D156" s="24" t="e">
        <v>#N/A</v>
      </c>
      <c r="E156" s="49">
        <v>0</v>
      </c>
    </row>
    <row r="157" spans="1:5" x14ac:dyDescent="0.25">
      <c r="A157" s="41" t="s">
        <v>62</v>
      </c>
      <c r="B157" s="41">
        <v>6</v>
      </c>
      <c r="C157" s="51" t="s">
        <v>873</v>
      </c>
      <c r="D157" s="24" t="e">
        <v>#N/A</v>
      </c>
      <c r="E157" s="49">
        <v>288927793</v>
      </c>
    </row>
    <row r="158" spans="1:5" x14ac:dyDescent="0.25">
      <c r="A158" s="41" t="s">
        <v>64</v>
      </c>
      <c r="B158" s="41">
        <v>6</v>
      </c>
      <c r="C158" s="51" t="s">
        <v>689</v>
      </c>
      <c r="D158" s="24" t="e">
        <v>#N/A</v>
      </c>
      <c r="E158" s="49">
        <v>7921629663</v>
      </c>
    </row>
    <row r="159" spans="1:5" x14ac:dyDescent="0.25">
      <c r="A159" s="41" t="s">
        <v>66</v>
      </c>
      <c r="B159" s="41">
        <v>6</v>
      </c>
      <c r="C159" s="51" t="s">
        <v>874</v>
      </c>
      <c r="D159" s="24" t="e">
        <v>#N/A</v>
      </c>
      <c r="E159" s="49">
        <v>4537380446</v>
      </c>
    </row>
    <row r="160" spans="1:5" x14ac:dyDescent="0.25">
      <c r="A160" s="41" t="s">
        <v>68</v>
      </c>
      <c r="B160" s="41">
        <v>6</v>
      </c>
      <c r="C160" s="51" t="s">
        <v>875</v>
      </c>
      <c r="D160" s="24" t="e">
        <v>#N/A</v>
      </c>
      <c r="E160" s="49">
        <v>859678176</v>
      </c>
    </row>
    <row r="161" spans="1:5" x14ac:dyDescent="0.25">
      <c r="A161" s="41" t="s">
        <v>70</v>
      </c>
      <c r="B161" s="41">
        <v>6</v>
      </c>
      <c r="C161" s="51" t="s">
        <v>692</v>
      </c>
      <c r="D161" s="24" t="e">
        <v>#N/A</v>
      </c>
      <c r="E161" s="49">
        <v>25926371412</v>
      </c>
    </row>
    <row r="162" spans="1:5" x14ac:dyDescent="0.25">
      <c r="A162" s="41" t="s">
        <v>72</v>
      </c>
      <c r="B162" s="41">
        <v>6</v>
      </c>
      <c r="C162" s="51" t="s">
        <v>693</v>
      </c>
      <c r="D162" s="24" t="e">
        <v>#N/A</v>
      </c>
      <c r="E162" s="49">
        <v>146790210063</v>
      </c>
    </row>
    <row r="163" spans="1:5" x14ac:dyDescent="0.25">
      <c r="A163" s="41" t="s">
        <v>876</v>
      </c>
      <c r="B163" s="41">
        <v>6</v>
      </c>
      <c r="C163" s="51" t="s">
        <v>15</v>
      </c>
      <c r="D163" s="24" t="e">
        <v>#N/A</v>
      </c>
      <c r="E163" s="49">
        <v>0</v>
      </c>
    </row>
    <row r="164" spans="1:5" x14ac:dyDescent="0.25">
      <c r="A164" s="41" t="s">
        <v>74</v>
      </c>
      <c r="B164" s="41">
        <v>6</v>
      </c>
      <c r="C164" s="51" t="s">
        <v>877</v>
      </c>
      <c r="D164" s="24" t="e">
        <v>#N/A</v>
      </c>
      <c r="E164" s="49">
        <v>921485</v>
      </c>
    </row>
    <row r="165" spans="1:5" x14ac:dyDescent="0.25">
      <c r="A165" s="41" t="s">
        <v>76</v>
      </c>
      <c r="B165" s="41">
        <v>6</v>
      </c>
      <c r="C165" s="51" t="s">
        <v>695</v>
      </c>
      <c r="D165" s="24" t="e">
        <v>#N/A</v>
      </c>
      <c r="E165" s="49">
        <v>42966886995</v>
      </c>
    </row>
    <row r="166" spans="1:5" x14ac:dyDescent="0.25">
      <c r="A166" s="41" t="s">
        <v>878</v>
      </c>
      <c r="B166" s="41">
        <v>6</v>
      </c>
      <c r="C166" s="51" t="s">
        <v>879</v>
      </c>
      <c r="D166" s="24" t="e">
        <v>#N/A</v>
      </c>
      <c r="E166" s="49">
        <v>0</v>
      </c>
    </row>
    <row r="167" spans="1:5" x14ac:dyDescent="0.25">
      <c r="A167" s="41" t="s">
        <v>80</v>
      </c>
      <c r="B167" s="41">
        <v>6</v>
      </c>
      <c r="C167" s="51" t="s">
        <v>880</v>
      </c>
      <c r="D167" s="24" t="e">
        <v>#N/A</v>
      </c>
      <c r="E167" s="49">
        <v>664097297</v>
      </c>
    </row>
    <row r="168" spans="1:5" x14ac:dyDescent="0.25">
      <c r="A168" s="41" t="s">
        <v>881</v>
      </c>
      <c r="B168" s="41">
        <v>6</v>
      </c>
      <c r="C168" s="51" t="s">
        <v>703</v>
      </c>
      <c r="D168" s="24" t="e">
        <v>#N/A</v>
      </c>
      <c r="E168" s="49">
        <v>0</v>
      </c>
    </row>
    <row r="169" spans="1:5" x14ac:dyDescent="0.25">
      <c r="A169" s="41" t="s">
        <v>83</v>
      </c>
      <c r="B169" s="41">
        <v>6</v>
      </c>
      <c r="C169" s="51" t="s">
        <v>703</v>
      </c>
      <c r="D169" s="24" t="e">
        <v>#N/A</v>
      </c>
      <c r="E169" s="49">
        <v>-3594298835</v>
      </c>
    </row>
    <row r="170" spans="1:5" x14ac:dyDescent="0.25">
      <c r="A170" s="41" t="s">
        <v>84</v>
      </c>
      <c r="B170" s="41">
        <v>6</v>
      </c>
      <c r="C170" s="51" t="s">
        <v>882</v>
      </c>
      <c r="D170" s="24" t="e">
        <v>#N/A</v>
      </c>
      <c r="E170" s="49">
        <v>-34479107</v>
      </c>
    </row>
    <row r="171" spans="1:5" x14ac:dyDescent="0.25">
      <c r="A171" s="41" t="s">
        <v>156</v>
      </c>
      <c r="B171" s="41">
        <v>6</v>
      </c>
      <c r="C171" s="51" t="s">
        <v>883</v>
      </c>
      <c r="D171" s="24" t="e">
        <v>#N/A</v>
      </c>
      <c r="E171" s="49">
        <v>7074861</v>
      </c>
    </row>
    <row r="172" spans="1:5" x14ac:dyDescent="0.25">
      <c r="A172" s="41" t="s">
        <v>158</v>
      </c>
      <c r="B172" s="41">
        <v>6</v>
      </c>
      <c r="C172" s="51" t="s">
        <v>697</v>
      </c>
      <c r="D172" s="24" t="e">
        <v>#N/A</v>
      </c>
      <c r="E172" s="49">
        <v>19406750556</v>
      </c>
    </row>
    <row r="173" spans="1:5" x14ac:dyDescent="0.25">
      <c r="A173" s="41" t="s">
        <v>160</v>
      </c>
      <c r="B173" s="41">
        <v>6</v>
      </c>
      <c r="C173" s="51" t="s">
        <v>698</v>
      </c>
      <c r="D173" s="24" t="e">
        <v>#N/A</v>
      </c>
      <c r="E173" s="49">
        <v>248755665</v>
      </c>
    </row>
    <row r="174" spans="1:5" x14ac:dyDescent="0.25">
      <c r="A174" s="41" t="s">
        <v>162</v>
      </c>
      <c r="B174" s="41">
        <v>6</v>
      </c>
      <c r="C174" s="51" t="s">
        <v>699</v>
      </c>
      <c r="D174" s="24" t="e">
        <v>#N/A</v>
      </c>
      <c r="E174" s="49">
        <v>8302080</v>
      </c>
    </row>
    <row r="175" spans="1:5" x14ac:dyDescent="0.25">
      <c r="A175" s="41" t="s">
        <v>163</v>
      </c>
      <c r="B175" s="41">
        <v>6</v>
      </c>
      <c r="C175" s="51" t="s">
        <v>700</v>
      </c>
      <c r="D175" s="24" t="e">
        <v>#N/A</v>
      </c>
      <c r="E175" s="49">
        <v>3421803299</v>
      </c>
    </row>
    <row r="176" spans="1:5" x14ac:dyDescent="0.25">
      <c r="A176" s="41" t="s">
        <v>170</v>
      </c>
      <c r="B176" s="41">
        <v>6</v>
      </c>
      <c r="C176" s="51" t="s">
        <v>884</v>
      </c>
      <c r="D176" s="24" t="e">
        <v>#N/A</v>
      </c>
      <c r="E176" s="49">
        <v>21852000000</v>
      </c>
    </row>
    <row r="177" spans="1:5" x14ac:dyDescent="0.25">
      <c r="A177" s="41" t="s">
        <v>885</v>
      </c>
      <c r="B177" s="41">
        <v>6</v>
      </c>
      <c r="C177" s="44" t="s">
        <v>828</v>
      </c>
      <c r="D177" s="24" t="e">
        <v>#N/A</v>
      </c>
      <c r="E177" s="49">
        <v>0</v>
      </c>
    </row>
    <row r="178" spans="1:5" x14ac:dyDescent="0.25">
      <c r="A178" s="41" t="s">
        <v>886</v>
      </c>
      <c r="B178" s="41">
        <v>6</v>
      </c>
      <c r="C178" s="51" t="s">
        <v>829</v>
      </c>
      <c r="D178" s="24" t="e">
        <v>#N/A</v>
      </c>
      <c r="E178" s="49">
        <v>0</v>
      </c>
    </row>
    <row r="179" spans="1:5" x14ac:dyDescent="0.25">
      <c r="A179" s="41" t="s">
        <v>180</v>
      </c>
      <c r="B179" s="41">
        <v>6</v>
      </c>
      <c r="C179" s="24" t="s">
        <v>887</v>
      </c>
      <c r="D179" s="24" t="e">
        <v>#N/A</v>
      </c>
      <c r="E179" s="49">
        <v>-11000000000</v>
      </c>
    </row>
    <row r="180" spans="1:5" x14ac:dyDescent="0.25">
      <c r="A180" s="41" t="s">
        <v>190</v>
      </c>
      <c r="B180" s="41">
        <v>6</v>
      </c>
      <c r="C180" s="51" t="s">
        <v>719</v>
      </c>
      <c r="D180" s="24" t="e">
        <v>#N/A</v>
      </c>
      <c r="E180" s="49">
        <v>-73013446</v>
      </c>
    </row>
    <row r="181" spans="1:5" x14ac:dyDescent="0.25">
      <c r="A181" s="41" t="s">
        <v>192</v>
      </c>
      <c r="B181" s="41">
        <v>6</v>
      </c>
      <c r="C181" s="51" t="s">
        <v>720</v>
      </c>
      <c r="D181" s="24" t="e">
        <v>#N/A</v>
      </c>
      <c r="E181" s="49">
        <v>-65211829</v>
      </c>
    </row>
    <row r="182" spans="1:5" x14ac:dyDescent="0.25">
      <c r="A182" s="41" t="s">
        <v>194</v>
      </c>
      <c r="B182" s="41">
        <v>6</v>
      </c>
      <c r="C182" s="51" t="s">
        <v>888</v>
      </c>
      <c r="D182" s="24" t="e">
        <v>#N/A</v>
      </c>
      <c r="E182" s="49">
        <v>-35127596</v>
      </c>
    </row>
    <row r="183" spans="1:5" x14ac:dyDescent="0.25">
      <c r="A183" s="41" t="s">
        <v>196</v>
      </c>
      <c r="B183" s="41">
        <v>6</v>
      </c>
      <c r="C183" s="51" t="s">
        <v>727</v>
      </c>
      <c r="D183" s="24" t="e">
        <v>#N/A</v>
      </c>
      <c r="E183" s="49">
        <v>-25657540</v>
      </c>
    </row>
    <row r="184" spans="1:5" x14ac:dyDescent="0.25">
      <c r="A184" s="41" t="s">
        <v>198</v>
      </c>
      <c r="B184" s="41">
        <v>6</v>
      </c>
      <c r="C184" s="51" t="s">
        <v>889</v>
      </c>
      <c r="D184" s="24" t="e">
        <v>#N/A</v>
      </c>
      <c r="E184" s="49">
        <v>-1087587</v>
      </c>
    </row>
    <row r="185" spans="1:5" x14ac:dyDescent="0.25">
      <c r="A185" s="41" t="s">
        <v>200</v>
      </c>
      <c r="B185" s="41">
        <v>6</v>
      </c>
      <c r="C185" s="51" t="s">
        <v>723</v>
      </c>
      <c r="D185" s="24" t="e">
        <v>#N/A</v>
      </c>
      <c r="E185" s="49">
        <v>-7361084</v>
      </c>
    </row>
    <row r="186" spans="1:5" x14ac:dyDescent="0.25">
      <c r="A186" s="41" t="s">
        <v>202</v>
      </c>
      <c r="B186" s="41">
        <v>6</v>
      </c>
      <c r="C186" s="51" t="s">
        <v>890</v>
      </c>
      <c r="D186" s="24" t="e">
        <v>#N/A</v>
      </c>
      <c r="E186" s="49">
        <v>-15360000</v>
      </c>
    </row>
    <row r="187" spans="1:5" x14ac:dyDescent="0.25">
      <c r="A187" s="41" t="s">
        <v>891</v>
      </c>
      <c r="B187" s="41">
        <v>6</v>
      </c>
      <c r="C187" s="24" t="s">
        <v>892</v>
      </c>
      <c r="D187" s="24" t="e">
        <v>#N/A</v>
      </c>
      <c r="E187" s="49">
        <v>0</v>
      </c>
    </row>
    <row r="188" spans="1:5" x14ac:dyDescent="0.25">
      <c r="A188" s="41" t="s">
        <v>253</v>
      </c>
      <c r="B188" s="41">
        <v>6</v>
      </c>
      <c r="C188" s="24" t="s">
        <v>893</v>
      </c>
      <c r="D188" s="24" t="e">
        <v>#N/A</v>
      </c>
      <c r="E188" s="49">
        <v>-813554222</v>
      </c>
    </row>
    <row r="189" spans="1:5" x14ac:dyDescent="0.25">
      <c r="A189" s="41" t="s">
        <v>257</v>
      </c>
      <c r="B189" s="41">
        <v>6</v>
      </c>
      <c r="C189" s="24" t="s">
        <v>750</v>
      </c>
      <c r="D189" s="24" t="e">
        <v>#N/A</v>
      </c>
      <c r="E189" s="49">
        <v>-2914054491</v>
      </c>
    </row>
    <row r="190" spans="1:5" x14ac:dyDescent="0.25">
      <c r="A190" s="41" t="s">
        <v>259</v>
      </c>
      <c r="B190" s="41">
        <v>6</v>
      </c>
      <c r="C190" s="51" t="s">
        <v>894</v>
      </c>
      <c r="D190" s="24" t="e">
        <v>#N/A</v>
      </c>
      <c r="E190" s="49">
        <v>-2396509339</v>
      </c>
    </row>
    <row r="191" spans="1:5" x14ac:dyDescent="0.25">
      <c r="A191" s="41" t="s">
        <v>261</v>
      </c>
      <c r="B191" s="41">
        <v>6</v>
      </c>
      <c r="C191" s="51" t="s">
        <v>751</v>
      </c>
      <c r="D191" s="24" t="e">
        <v>#N/A</v>
      </c>
      <c r="E191" s="49">
        <v>-351153109</v>
      </c>
    </row>
    <row r="192" spans="1:5" x14ac:dyDescent="0.25">
      <c r="A192" s="41" t="s">
        <v>263</v>
      </c>
      <c r="B192" s="41">
        <v>6</v>
      </c>
      <c r="C192" s="51" t="s">
        <v>752</v>
      </c>
      <c r="D192" s="24" t="e">
        <v>#N/A</v>
      </c>
      <c r="E192" s="49">
        <v>-39000834968</v>
      </c>
    </row>
    <row r="193" spans="1:5" x14ac:dyDescent="0.25">
      <c r="A193" s="41" t="s">
        <v>265</v>
      </c>
      <c r="B193" s="41">
        <v>6</v>
      </c>
      <c r="C193" s="51" t="s">
        <v>895</v>
      </c>
      <c r="D193" s="24" t="e">
        <v>#N/A</v>
      </c>
      <c r="E193" s="49">
        <v>-481699725130</v>
      </c>
    </row>
    <row r="194" spans="1:5" x14ac:dyDescent="0.25">
      <c r="A194" s="41" t="s">
        <v>267</v>
      </c>
      <c r="B194" s="41">
        <v>6</v>
      </c>
      <c r="C194" s="51" t="s">
        <v>754</v>
      </c>
      <c r="D194" s="24" t="e">
        <v>#N/A</v>
      </c>
      <c r="E194" s="49">
        <v>-104611169147</v>
      </c>
    </row>
    <row r="195" spans="1:5" x14ac:dyDescent="0.25">
      <c r="A195" s="41" t="s">
        <v>269</v>
      </c>
      <c r="B195" s="41">
        <v>6</v>
      </c>
      <c r="C195" s="51" t="s">
        <v>755</v>
      </c>
      <c r="D195" s="24" t="e">
        <v>#N/A</v>
      </c>
      <c r="E195" s="49">
        <v>-1801155776</v>
      </c>
    </row>
    <row r="196" spans="1:5" x14ac:dyDescent="0.25">
      <c r="A196" s="41" t="s">
        <v>273</v>
      </c>
      <c r="B196" s="41">
        <v>6</v>
      </c>
      <c r="C196" s="51" t="s">
        <v>896</v>
      </c>
      <c r="D196" s="24" t="e">
        <v>#N/A</v>
      </c>
      <c r="E196" s="49">
        <v>-255827480</v>
      </c>
    </row>
    <row r="197" spans="1:5" x14ac:dyDescent="0.25">
      <c r="A197" s="41" t="s">
        <v>275</v>
      </c>
      <c r="B197" s="41">
        <v>6</v>
      </c>
      <c r="C197" s="51" t="s">
        <v>717</v>
      </c>
      <c r="D197" s="24" t="e">
        <v>#N/A</v>
      </c>
      <c r="E197" s="49">
        <v>-850251</v>
      </c>
    </row>
    <row r="198" spans="1:5" x14ac:dyDescent="0.25">
      <c r="A198" s="41" t="s">
        <v>897</v>
      </c>
      <c r="B198" s="41">
        <v>6</v>
      </c>
      <c r="C198" s="51" t="s">
        <v>898</v>
      </c>
      <c r="D198" s="24" t="e">
        <v>#N/A</v>
      </c>
      <c r="E198" s="49">
        <v>0</v>
      </c>
    </row>
    <row r="199" spans="1:5" x14ac:dyDescent="0.25">
      <c r="A199" s="41" t="s">
        <v>276</v>
      </c>
      <c r="B199" s="41">
        <v>6</v>
      </c>
      <c r="C199" s="51" t="s">
        <v>899</v>
      </c>
      <c r="D199" s="24" t="e">
        <v>#N/A</v>
      </c>
      <c r="E199" s="49">
        <v>0</v>
      </c>
    </row>
    <row r="200" spans="1:5" x14ac:dyDescent="0.25">
      <c r="A200" s="41" t="s">
        <v>278</v>
      </c>
      <c r="B200" s="41">
        <v>6</v>
      </c>
      <c r="C200" s="51" t="s">
        <v>900</v>
      </c>
      <c r="D200" s="24" t="e">
        <v>#N/A</v>
      </c>
      <c r="E200" s="49">
        <v>-80907200</v>
      </c>
    </row>
    <row r="201" spans="1:5" x14ac:dyDescent="0.25">
      <c r="A201" s="41" t="s">
        <v>280</v>
      </c>
      <c r="B201" s="41">
        <v>6</v>
      </c>
      <c r="C201" s="51" t="s">
        <v>715</v>
      </c>
      <c r="D201" s="24" t="e">
        <v>#N/A</v>
      </c>
      <c r="E201" s="49">
        <v>-18772510</v>
      </c>
    </row>
    <row r="202" spans="1:5" x14ac:dyDescent="0.25">
      <c r="A202" s="41" t="s">
        <v>901</v>
      </c>
      <c r="B202" s="41">
        <v>6</v>
      </c>
      <c r="C202" s="51" t="s">
        <v>729</v>
      </c>
      <c r="D202" s="24" t="e">
        <v>#N/A</v>
      </c>
      <c r="E202" s="49">
        <v>0</v>
      </c>
    </row>
    <row r="203" spans="1:5" x14ac:dyDescent="0.25">
      <c r="A203" s="41" t="s">
        <v>281</v>
      </c>
      <c r="B203" s="41">
        <v>6</v>
      </c>
      <c r="C203" s="51" t="s">
        <v>730</v>
      </c>
      <c r="D203" s="24" t="e">
        <v>#N/A</v>
      </c>
      <c r="E203" s="49">
        <v>-4224151925</v>
      </c>
    </row>
    <row r="204" spans="1:5" x14ac:dyDescent="0.25">
      <c r="A204" s="41" t="s">
        <v>282</v>
      </c>
      <c r="B204" s="41">
        <v>6</v>
      </c>
      <c r="C204" s="51" t="s">
        <v>14</v>
      </c>
      <c r="D204" s="24" t="e">
        <v>#N/A</v>
      </c>
      <c r="E204" s="49">
        <v>-505570495</v>
      </c>
    </row>
    <row r="205" spans="1:5" x14ac:dyDescent="0.25">
      <c r="A205" s="41" t="s">
        <v>283</v>
      </c>
      <c r="B205" s="41">
        <v>6</v>
      </c>
      <c r="C205" s="51" t="s">
        <v>902</v>
      </c>
      <c r="D205" s="24" t="e">
        <v>#N/A</v>
      </c>
      <c r="E205" s="49">
        <v>-213356839</v>
      </c>
    </row>
    <row r="206" spans="1:5" x14ac:dyDescent="0.25">
      <c r="A206" s="41" t="s">
        <v>301</v>
      </c>
      <c r="B206" s="41">
        <v>6</v>
      </c>
      <c r="C206" s="24" t="s">
        <v>745</v>
      </c>
      <c r="D206" s="24" t="e">
        <v>#N/A</v>
      </c>
      <c r="E206" s="49">
        <v>-5186301</v>
      </c>
    </row>
    <row r="207" spans="1:5" x14ac:dyDescent="0.25">
      <c r="A207" s="41" t="s">
        <v>302</v>
      </c>
      <c r="B207" s="41">
        <v>6</v>
      </c>
      <c r="C207" s="51" t="s">
        <v>746</v>
      </c>
      <c r="D207" s="24" t="e">
        <v>#N/A</v>
      </c>
      <c r="E207" s="49">
        <v>-1104840107</v>
      </c>
    </row>
    <row r="208" spans="1:5" x14ac:dyDescent="0.25">
      <c r="A208" s="41" t="s">
        <v>303</v>
      </c>
      <c r="B208" s="41">
        <v>6</v>
      </c>
      <c r="C208" s="24" t="s">
        <v>747</v>
      </c>
      <c r="D208" s="24" t="e">
        <v>#N/A</v>
      </c>
      <c r="E208" s="49">
        <v>-114883096</v>
      </c>
    </row>
    <row r="209" spans="1:5" x14ac:dyDescent="0.25">
      <c r="A209" s="41" t="s">
        <v>304</v>
      </c>
      <c r="B209" s="41">
        <v>6</v>
      </c>
      <c r="C209" s="24" t="s">
        <v>748</v>
      </c>
      <c r="D209" s="24" t="e">
        <v>#N/A</v>
      </c>
      <c r="E209" s="49">
        <v>-483868474</v>
      </c>
    </row>
    <row r="210" spans="1:5" x14ac:dyDescent="0.25">
      <c r="A210" s="41" t="s">
        <v>305</v>
      </c>
      <c r="B210" s="41">
        <v>6</v>
      </c>
      <c r="C210" s="51" t="s">
        <v>762</v>
      </c>
      <c r="D210" s="24" t="e">
        <v>#N/A</v>
      </c>
      <c r="E210" s="49">
        <v>-174725</v>
      </c>
    </row>
    <row r="211" spans="1:5" x14ac:dyDescent="0.25">
      <c r="A211" s="41" t="s">
        <v>307</v>
      </c>
      <c r="B211" s="41">
        <v>6</v>
      </c>
      <c r="C211" s="51" t="s">
        <v>903</v>
      </c>
      <c r="D211" s="24" t="e">
        <v>#N/A</v>
      </c>
      <c r="E211" s="49">
        <v>-20192500</v>
      </c>
    </row>
    <row r="212" spans="1:5" x14ac:dyDescent="0.25">
      <c r="A212" s="41" t="s">
        <v>309</v>
      </c>
      <c r="B212" s="41">
        <v>6</v>
      </c>
      <c r="C212" s="51" t="s">
        <v>791</v>
      </c>
      <c r="D212" s="24" t="e">
        <v>#N/A</v>
      </c>
      <c r="E212" s="49">
        <v>-3539534</v>
      </c>
    </row>
    <row r="213" spans="1:5" x14ac:dyDescent="0.25">
      <c r="A213" s="41" t="s">
        <v>311</v>
      </c>
      <c r="B213" s="41">
        <v>6</v>
      </c>
      <c r="C213" s="51" t="s">
        <v>904</v>
      </c>
      <c r="D213" s="24" t="e">
        <v>#N/A</v>
      </c>
      <c r="E213" s="49">
        <v>-188078691</v>
      </c>
    </row>
    <row r="214" spans="1:5" x14ac:dyDescent="0.25">
      <c r="A214" s="41" t="s">
        <v>313</v>
      </c>
      <c r="B214" s="41">
        <v>6</v>
      </c>
      <c r="C214" s="51" t="s">
        <v>905</v>
      </c>
      <c r="D214" s="24" t="e">
        <v>#N/A</v>
      </c>
      <c r="E214" s="49">
        <v>-136017628</v>
      </c>
    </row>
    <row r="215" spans="1:5" x14ac:dyDescent="0.25">
      <c r="A215" s="41" t="s">
        <v>315</v>
      </c>
      <c r="B215" s="41">
        <v>6</v>
      </c>
      <c r="C215" s="51" t="s">
        <v>797</v>
      </c>
      <c r="D215" s="24" t="e">
        <v>#N/A</v>
      </c>
      <c r="E215" s="49">
        <v>-64703000</v>
      </c>
    </row>
    <row r="216" spans="1:5" x14ac:dyDescent="0.25">
      <c r="A216" s="41" t="s">
        <v>329</v>
      </c>
      <c r="B216" s="41">
        <v>6</v>
      </c>
      <c r="C216" s="44" t="s">
        <v>906</v>
      </c>
      <c r="D216" s="24" t="e">
        <v>#N/A</v>
      </c>
      <c r="E216" s="49">
        <v>-311649949</v>
      </c>
    </row>
    <row r="217" spans="1:5" x14ac:dyDescent="0.25">
      <c r="A217" s="41" t="s">
        <v>351</v>
      </c>
      <c r="B217" s="41">
        <v>6</v>
      </c>
      <c r="C217" s="24" t="s">
        <v>740</v>
      </c>
      <c r="D217" s="24" t="e">
        <v>#N/A</v>
      </c>
      <c r="E217" s="49">
        <v>-111834861</v>
      </c>
    </row>
    <row r="218" spans="1:5" x14ac:dyDescent="0.25">
      <c r="A218" s="41" t="s">
        <v>360</v>
      </c>
      <c r="B218" s="41">
        <v>6</v>
      </c>
      <c r="C218" s="24" t="s">
        <v>907</v>
      </c>
      <c r="D218" s="24" t="e">
        <v>#N/A</v>
      </c>
      <c r="E218" s="49">
        <v>500000000000</v>
      </c>
    </row>
    <row r="219" spans="1:5" x14ac:dyDescent="0.25">
      <c r="A219" s="41" t="s">
        <v>366</v>
      </c>
      <c r="B219" s="41">
        <v>6</v>
      </c>
      <c r="C219" s="24" t="s">
        <v>772</v>
      </c>
      <c r="D219" s="24" t="e">
        <v>#N/A</v>
      </c>
      <c r="E219" s="49">
        <v>370723152544</v>
      </c>
    </row>
    <row r="220" spans="1:5" x14ac:dyDescent="0.25">
      <c r="A220" s="41" t="s">
        <v>369</v>
      </c>
      <c r="B220" s="41">
        <v>6</v>
      </c>
      <c r="C220" s="24" t="s">
        <v>908</v>
      </c>
      <c r="D220" s="24" t="e">
        <v>#N/A</v>
      </c>
      <c r="E220" s="49">
        <v>-10927422577</v>
      </c>
    </row>
    <row r="221" spans="1:5" x14ac:dyDescent="0.25">
      <c r="A221" s="41" t="s">
        <v>370</v>
      </c>
      <c r="B221" s="41">
        <v>6</v>
      </c>
      <c r="C221" s="24" t="s">
        <v>909</v>
      </c>
      <c r="D221" s="24" t="e">
        <v>#N/A</v>
      </c>
      <c r="E221" s="49">
        <v>163742545</v>
      </c>
    </row>
    <row r="222" spans="1:5" x14ac:dyDescent="0.25">
      <c r="A222" s="41" t="s">
        <v>372</v>
      </c>
      <c r="B222" s="41">
        <v>6</v>
      </c>
      <c r="C222" s="24" t="s">
        <v>910</v>
      </c>
      <c r="D222" s="24" t="e">
        <v>#N/A</v>
      </c>
      <c r="E222" s="49">
        <v>-868227049</v>
      </c>
    </row>
    <row r="223" spans="1:5" x14ac:dyDescent="0.25">
      <c r="A223" s="41" t="s">
        <v>381</v>
      </c>
      <c r="B223" s="41">
        <v>6</v>
      </c>
      <c r="C223" s="24" t="s">
        <v>911</v>
      </c>
      <c r="D223" s="24" t="e">
        <v>#N/A</v>
      </c>
      <c r="E223" s="49">
        <v>-221221496</v>
      </c>
    </row>
    <row r="224" spans="1:5" x14ac:dyDescent="0.25">
      <c r="A224" s="41" t="s">
        <v>395</v>
      </c>
      <c r="B224" s="41">
        <v>6</v>
      </c>
      <c r="C224" s="24" t="s">
        <v>776</v>
      </c>
      <c r="D224" s="24" t="e">
        <v>#N/A</v>
      </c>
      <c r="E224" s="49">
        <v>-693496735</v>
      </c>
    </row>
    <row r="225" spans="1:5" x14ac:dyDescent="0.25">
      <c r="A225" s="41" t="s">
        <v>912</v>
      </c>
      <c r="B225" s="41">
        <v>6</v>
      </c>
      <c r="C225" s="24" t="s">
        <v>913</v>
      </c>
      <c r="D225" s="24" t="e">
        <v>#N/A</v>
      </c>
      <c r="E225" s="49">
        <v>0</v>
      </c>
    </row>
    <row r="226" spans="1:5" x14ac:dyDescent="0.25">
      <c r="A226" s="41" t="s">
        <v>397</v>
      </c>
      <c r="B226" s="41">
        <v>6</v>
      </c>
      <c r="C226" s="24" t="s">
        <v>914</v>
      </c>
      <c r="D226" s="24" t="e">
        <v>#N/A</v>
      </c>
      <c r="E226" s="49">
        <v>-1206896834</v>
      </c>
    </row>
    <row r="227" spans="1:5" x14ac:dyDescent="0.25">
      <c r="A227" s="41" t="s">
        <v>399</v>
      </c>
      <c r="B227" s="41">
        <v>6</v>
      </c>
      <c r="C227" s="24" t="s">
        <v>777</v>
      </c>
      <c r="D227" s="24" t="e">
        <v>#N/A</v>
      </c>
      <c r="E227" s="49">
        <v>-23629152</v>
      </c>
    </row>
    <row r="228" spans="1:5" x14ac:dyDescent="0.25">
      <c r="A228" s="41" t="s">
        <v>401</v>
      </c>
      <c r="B228" s="41">
        <v>6</v>
      </c>
      <c r="C228" s="24" t="s">
        <v>778</v>
      </c>
      <c r="D228" s="24" t="e">
        <v>#N/A</v>
      </c>
      <c r="E228" s="49">
        <v>-2253127725</v>
      </c>
    </row>
    <row r="229" spans="1:5" x14ac:dyDescent="0.25">
      <c r="A229" s="41" t="s">
        <v>915</v>
      </c>
      <c r="B229" s="41">
        <v>6</v>
      </c>
      <c r="C229" s="44" t="s">
        <v>833</v>
      </c>
      <c r="D229" s="24" t="e">
        <v>#N/A</v>
      </c>
      <c r="E229" s="49">
        <v>0</v>
      </c>
    </row>
    <row r="230" spans="1:5" x14ac:dyDescent="0.25">
      <c r="A230" s="41" t="s">
        <v>411</v>
      </c>
      <c r="B230" s="41">
        <v>6</v>
      </c>
      <c r="C230" s="24" t="s">
        <v>782</v>
      </c>
      <c r="D230" s="24" t="e">
        <v>#N/A</v>
      </c>
      <c r="E230" s="49">
        <v>-17062892794</v>
      </c>
    </row>
    <row r="231" spans="1:5" x14ac:dyDescent="0.25">
      <c r="A231" s="41" t="s">
        <v>413</v>
      </c>
      <c r="B231" s="41">
        <v>6</v>
      </c>
      <c r="C231" s="24" t="s">
        <v>783</v>
      </c>
      <c r="D231" s="24" t="e">
        <v>#N/A</v>
      </c>
      <c r="E231" s="49">
        <v>-111243</v>
      </c>
    </row>
    <row r="232" spans="1:5" x14ac:dyDescent="0.25">
      <c r="A232" s="41" t="s">
        <v>415</v>
      </c>
      <c r="B232" s="41">
        <v>6</v>
      </c>
      <c r="C232" s="24" t="s">
        <v>916</v>
      </c>
      <c r="D232" s="24" t="e">
        <v>#N/A</v>
      </c>
      <c r="E232" s="49">
        <v>-961658</v>
      </c>
    </row>
    <row r="233" spans="1:5" x14ac:dyDescent="0.25">
      <c r="A233" s="41" t="s">
        <v>480</v>
      </c>
      <c r="B233" s="41">
        <v>6</v>
      </c>
      <c r="C233" s="24" t="s">
        <v>748</v>
      </c>
      <c r="D233" s="24" t="e">
        <v>#N/A</v>
      </c>
      <c r="E233" s="49">
        <v>731950508</v>
      </c>
    </row>
    <row r="234" spans="1:5" x14ac:dyDescent="0.25">
      <c r="A234" s="41" t="s">
        <v>481</v>
      </c>
      <c r="B234" s="41">
        <v>6</v>
      </c>
      <c r="C234" s="24" t="s">
        <v>746</v>
      </c>
      <c r="D234" s="24" t="e">
        <v>#N/A</v>
      </c>
      <c r="E234" s="49">
        <v>1212343231</v>
      </c>
    </row>
    <row r="235" spans="1:5" x14ac:dyDescent="0.25">
      <c r="A235" s="41" t="s">
        <v>482</v>
      </c>
      <c r="B235" s="41">
        <v>6</v>
      </c>
      <c r="C235" s="24" t="s">
        <v>790</v>
      </c>
      <c r="D235" s="24" t="e">
        <v>#N/A</v>
      </c>
      <c r="E235" s="49">
        <v>121326644</v>
      </c>
    </row>
    <row r="236" spans="1:5" x14ac:dyDescent="0.25">
      <c r="A236" s="41" t="s">
        <v>483</v>
      </c>
      <c r="B236" s="41">
        <v>6</v>
      </c>
      <c r="C236" s="24" t="s">
        <v>762</v>
      </c>
      <c r="D236" s="24" t="e">
        <v>#N/A</v>
      </c>
      <c r="E236" s="49">
        <v>1202876161</v>
      </c>
    </row>
    <row r="237" spans="1:5" x14ac:dyDescent="0.25">
      <c r="A237" s="41" t="s">
        <v>486</v>
      </c>
      <c r="B237" s="41">
        <v>6</v>
      </c>
      <c r="C237" s="24" t="s">
        <v>917</v>
      </c>
      <c r="D237" s="24" t="e">
        <v>#N/A</v>
      </c>
      <c r="E237" s="49">
        <v>4625665507</v>
      </c>
    </row>
    <row r="238" spans="1:5" x14ac:dyDescent="0.25">
      <c r="A238" s="41" t="s">
        <v>488</v>
      </c>
      <c r="B238" s="41">
        <v>6</v>
      </c>
      <c r="C238" s="24" t="s">
        <v>730</v>
      </c>
      <c r="D238" s="24" t="e">
        <v>#N/A</v>
      </c>
      <c r="E238" s="49">
        <v>6477175287</v>
      </c>
    </row>
    <row r="239" spans="1:5" x14ac:dyDescent="0.25">
      <c r="A239" s="41" t="s">
        <v>489</v>
      </c>
      <c r="B239" s="41">
        <v>6</v>
      </c>
      <c r="C239" s="24" t="s">
        <v>791</v>
      </c>
      <c r="D239" s="24" t="e">
        <v>#N/A</v>
      </c>
      <c r="E239" s="49">
        <v>39283051</v>
      </c>
    </row>
    <row r="240" spans="1:5" x14ac:dyDescent="0.25">
      <c r="A240" s="41" t="s">
        <v>490</v>
      </c>
      <c r="B240" s="41">
        <v>6</v>
      </c>
      <c r="C240" s="24" t="s">
        <v>918</v>
      </c>
      <c r="D240" s="24" t="e">
        <v>#N/A</v>
      </c>
      <c r="E240" s="49">
        <v>106773259</v>
      </c>
    </row>
    <row r="241" spans="1:5" x14ac:dyDescent="0.25">
      <c r="A241" s="41" t="s">
        <v>492</v>
      </c>
      <c r="B241" s="41">
        <v>6</v>
      </c>
      <c r="C241" s="24" t="s">
        <v>795</v>
      </c>
      <c r="D241" s="24" t="e">
        <v>#N/A</v>
      </c>
      <c r="E241" s="49">
        <v>168534384</v>
      </c>
    </row>
    <row r="242" spans="1:5" x14ac:dyDescent="0.25">
      <c r="A242" s="41" t="s">
        <v>493</v>
      </c>
      <c r="B242" s="41">
        <v>6</v>
      </c>
      <c r="C242" s="24" t="s">
        <v>794</v>
      </c>
      <c r="D242" s="24" t="e">
        <v>#N/A</v>
      </c>
      <c r="E242" s="49">
        <v>51396446</v>
      </c>
    </row>
    <row r="243" spans="1:5" x14ac:dyDescent="0.25">
      <c r="A243" s="41" t="s">
        <v>534</v>
      </c>
      <c r="B243" s="41">
        <v>6</v>
      </c>
      <c r="C243" s="44" t="s">
        <v>729</v>
      </c>
      <c r="D243" s="24" t="e">
        <v>#N/A</v>
      </c>
      <c r="E243" s="49">
        <v>15801897</v>
      </c>
    </row>
    <row r="244" spans="1:5" x14ac:dyDescent="0.25">
      <c r="A244" s="41" t="s">
        <v>535</v>
      </c>
      <c r="B244" s="41">
        <v>6</v>
      </c>
      <c r="C244" s="44" t="s">
        <v>730</v>
      </c>
      <c r="D244" s="24" t="e">
        <v>#N/A</v>
      </c>
      <c r="E244" s="49">
        <v>2373289628</v>
      </c>
    </row>
    <row r="245" spans="1:5" x14ac:dyDescent="0.25">
      <c r="A245" s="41" t="s">
        <v>536</v>
      </c>
      <c r="B245" s="41">
        <v>6</v>
      </c>
      <c r="C245" s="44" t="s">
        <v>14</v>
      </c>
      <c r="D245" s="24" t="e">
        <v>#N/A</v>
      </c>
      <c r="E245" s="49">
        <v>3541277000</v>
      </c>
    </row>
    <row r="246" spans="1:5" x14ac:dyDescent="0.25">
      <c r="A246" s="41" t="s">
        <v>573</v>
      </c>
      <c r="B246" s="41">
        <v>6</v>
      </c>
      <c r="C246" s="24" t="s">
        <v>703</v>
      </c>
      <c r="D246" s="24" t="e">
        <v>#N/A</v>
      </c>
      <c r="E246" s="49">
        <v>2523178194</v>
      </c>
    </row>
    <row r="247" spans="1:5" x14ac:dyDescent="0.25">
      <c r="A247" s="41" t="s">
        <v>574</v>
      </c>
      <c r="B247" s="41">
        <v>6</v>
      </c>
      <c r="C247" s="24" t="s">
        <v>703</v>
      </c>
      <c r="D247" s="24" t="e">
        <v>#N/A</v>
      </c>
      <c r="E247" s="49">
        <v>12591170</v>
      </c>
    </row>
    <row r="248" spans="1:5" x14ac:dyDescent="0.25">
      <c r="A248" s="41" t="s">
        <v>576</v>
      </c>
      <c r="B248" s="41">
        <v>6</v>
      </c>
      <c r="C248" s="24" t="s">
        <v>709</v>
      </c>
      <c r="D248" s="24" t="e">
        <v>#N/A</v>
      </c>
      <c r="E248" s="49">
        <v>86050982</v>
      </c>
    </row>
    <row r="249" spans="1:5" x14ac:dyDescent="0.25">
      <c r="A249" s="41" t="s">
        <v>577</v>
      </c>
      <c r="B249" s="41">
        <v>6</v>
      </c>
      <c r="C249" s="24" t="s">
        <v>827</v>
      </c>
      <c r="D249" s="24" t="e">
        <v>#N/A</v>
      </c>
      <c r="E249" s="49">
        <v>22863966</v>
      </c>
    </row>
    <row r="250" spans="1:5" x14ac:dyDescent="0.25">
      <c r="A250" s="41" t="s">
        <v>578</v>
      </c>
      <c r="B250" s="41">
        <v>6</v>
      </c>
      <c r="C250" s="24" t="s">
        <v>711</v>
      </c>
      <c r="D250" s="24" t="e">
        <v>#N/A</v>
      </c>
      <c r="E250" s="49">
        <v>153328</v>
      </c>
    </row>
    <row r="251" spans="1:5" x14ac:dyDescent="0.25">
      <c r="A251" s="41" t="s">
        <v>581</v>
      </c>
      <c r="B251" s="41">
        <v>6</v>
      </c>
      <c r="C251" s="51" t="s">
        <v>906</v>
      </c>
      <c r="D251" s="24" t="e">
        <v>#N/A</v>
      </c>
      <c r="E251" s="49">
        <v>303673970</v>
      </c>
    </row>
    <row r="252" spans="1:5" x14ac:dyDescent="0.25">
      <c r="A252" s="41" t="s">
        <v>583</v>
      </c>
      <c r="B252" s="41">
        <v>6</v>
      </c>
      <c r="C252" s="51" t="s">
        <v>919</v>
      </c>
      <c r="D252" s="24" t="e">
        <v>#N/A</v>
      </c>
      <c r="E252" s="49">
        <v>394047234</v>
      </c>
    </row>
    <row r="253" spans="1:5" x14ac:dyDescent="0.25">
      <c r="A253" s="41" t="s">
        <v>589</v>
      </c>
      <c r="B253" s="41">
        <v>6</v>
      </c>
      <c r="C253" s="24" t="s">
        <v>920</v>
      </c>
      <c r="D253" s="24" t="e">
        <v>#N/A</v>
      </c>
      <c r="E253" s="49">
        <v>22729042050</v>
      </c>
    </row>
    <row r="254" spans="1:5" x14ac:dyDescent="0.25">
      <c r="A254" s="41" t="s">
        <v>591</v>
      </c>
      <c r="B254" s="41">
        <v>6</v>
      </c>
      <c r="C254" s="24" t="s">
        <v>921</v>
      </c>
      <c r="D254" s="24" t="e">
        <v>#N/A</v>
      </c>
      <c r="E254" s="49">
        <v>21056787352</v>
      </c>
    </row>
    <row r="255" spans="1:5" x14ac:dyDescent="0.25">
      <c r="A255" s="41" t="s">
        <v>593</v>
      </c>
      <c r="B255" s="41">
        <v>6</v>
      </c>
      <c r="C255" s="24" t="s">
        <v>922</v>
      </c>
      <c r="D255" s="24" t="e">
        <v>#N/A</v>
      </c>
      <c r="E255" s="49">
        <v>1766142717</v>
      </c>
    </row>
    <row r="256" spans="1:5" x14ac:dyDescent="0.25">
      <c r="A256" s="41" t="s">
        <v>595</v>
      </c>
      <c r="B256" s="41">
        <v>6</v>
      </c>
      <c r="C256" s="24" t="s">
        <v>923</v>
      </c>
      <c r="D256" s="24" t="e">
        <v>#N/A</v>
      </c>
      <c r="E256" s="49">
        <v>473730695489</v>
      </c>
    </row>
    <row r="257" spans="1:5" x14ac:dyDescent="0.25">
      <c r="A257" s="41" t="s">
        <v>597</v>
      </c>
      <c r="B257" s="41">
        <v>6</v>
      </c>
      <c r="C257" s="24" t="s">
        <v>924</v>
      </c>
      <c r="D257" s="24" t="e">
        <v>#N/A</v>
      </c>
      <c r="E257" s="49">
        <v>1076589925395</v>
      </c>
    </row>
    <row r="258" spans="1:5" x14ac:dyDescent="0.25">
      <c r="A258" s="41" t="s">
        <v>599</v>
      </c>
      <c r="B258" s="41">
        <v>6</v>
      </c>
      <c r="C258" s="24" t="s">
        <v>843</v>
      </c>
      <c r="D258" s="24" t="e">
        <v>#N/A</v>
      </c>
      <c r="E258" s="49">
        <v>4704909</v>
      </c>
    </row>
    <row r="259" spans="1:5" x14ac:dyDescent="0.25">
      <c r="A259" s="41" t="s">
        <v>601</v>
      </c>
      <c r="B259" s="41">
        <v>6</v>
      </c>
      <c r="C259" s="24" t="s">
        <v>843</v>
      </c>
      <c r="D259" s="24" t="e">
        <v>#N/A</v>
      </c>
      <c r="E259" s="49">
        <v>1312538299</v>
      </c>
    </row>
    <row r="260" spans="1:5" x14ac:dyDescent="0.25">
      <c r="A260" s="41" t="s">
        <v>602</v>
      </c>
      <c r="B260" s="41">
        <v>6</v>
      </c>
      <c r="C260" s="24" t="s">
        <v>844</v>
      </c>
      <c r="D260" s="24" t="e">
        <v>#N/A</v>
      </c>
      <c r="E260" s="49">
        <v>0</v>
      </c>
    </row>
    <row r="261" spans="1:5" ht="15.75" customHeight="1" x14ac:dyDescent="0.25">
      <c r="A261" s="41" t="s">
        <v>603</v>
      </c>
      <c r="B261" s="41">
        <v>6</v>
      </c>
      <c r="C261" s="47" t="s">
        <v>765</v>
      </c>
      <c r="D261" s="24" t="e">
        <v>#N/A</v>
      </c>
      <c r="E261" s="49">
        <v>42366622294</v>
      </c>
    </row>
    <row r="262" spans="1:5" x14ac:dyDescent="0.25">
      <c r="A262" s="41" t="s">
        <v>604</v>
      </c>
      <c r="B262" s="41">
        <v>6</v>
      </c>
      <c r="C262" s="47" t="s">
        <v>925</v>
      </c>
      <c r="D262" s="24" t="e">
        <v>#N/A</v>
      </c>
      <c r="E262" s="49">
        <v>1214868213</v>
      </c>
    </row>
    <row r="263" spans="1:5" x14ac:dyDescent="0.25">
      <c r="A263" s="41" t="s">
        <v>605</v>
      </c>
      <c r="B263" s="41">
        <v>6</v>
      </c>
      <c r="C263" s="47" t="s">
        <v>926</v>
      </c>
      <c r="D263" s="24" t="e">
        <v>#N/A</v>
      </c>
      <c r="E263" s="49">
        <v>158768641589</v>
      </c>
    </row>
    <row r="264" spans="1:5" x14ac:dyDescent="0.25">
      <c r="A264" s="41" t="s">
        <v>614</v>
      </c>
      <c r="B264" s="41">
        <v>6</v>
      </c>
      <c r="C264" s="24" t="s">
        <v>927</v>
      </c>
      <c r="D264" s="24" t="e">
        <v>#N/A</v>
      </c>
      <c r="E264" s="49">
        <v>1705032</v>
      </c>
    </row>
    <row r="265" spans="1:5" x14ac:dyDescent="0.25">
      <c r="A265" s="41" t="s">
        <v>618</v>
      </c>
      <c r="B265" s="41">
        <v>6</v>
      </c>
      <c r="C265" s="24" t="s">
        <v>928</v>
      </c>
      <c r="D265" s="24" t="e">
        <v>#N/A</v>
      </c>
      <c r="E265" s="49">
        <v>49009918</v>
      </c>
    </row>
    <row r="266" spans="1:5" x14ac:dyDescent="0.25">
      <c r="A266" s="41" t="s">
        <v>621</v>
      </c>
      <c r="B266" s="41">
        <v>6</v>
      </c>
      <c r="C266" s="24" t="s">
        <v>823</v>
      </c>
      <c r="D266" s="24" t="e">
        <v>#N/A</v>
      </c>
      <c r="E266" s="49">
        <v>108954788</v>
      </c>
    </row>
    <row r="267" spans="1:5" x14ac:dyDescent="0.25">
      <c r="A267" s="41" t="s">
        <v>622</v>
      </c>
      <c r="B267" s="41">
        <v>6</v>
      </c>
      <c r="C267" s="24" t="s">
        <v>929</v>
      </c>
      <c r="D267" s="24" t="e">
        <v>#N/A</v>
      </c>
      <c r="E267" s="49">
        <v>5043798424</v>
      </c>
    </row>
    <row r="268" spans="1:5" x14ac:dyDescent="0.25">
      <c r="A268" s="41" t="s">
        <v>639</v>
      </c>
      <c r="B268" s="41">
        <v>6</v>
      </c>
      <c r="C268" s="24" t="s">
        <v>930</v>
      </c>
      <c r="D268" s="24" t="e">
        <v>#N/A</v>
      </c>
      <c r="E268" s="49">
        <v>9317961</v>
      </c>
    </row>
    <row r="269" spans="1:5" x14ac:dyDescent="0.25">
      <c r="A269" s="41" t="s">
        <v>641</v>
      </c>
      <c r="B269" s="41">
        <v>6</v>
      </c>
      <c r="C269" s="24" t="s">
        <v>931</v>
      </c>
      <c r="D269" s="24" t="e">
        <v>#N/A</v>
      </c>
      <c r="E269" s="49">
        <v>193288435</v>
      </c>
    </row>
    <row r="270" spans="1:5" x14ac:dyDescent="0.25">
      <c r="A270" s="41" t="s">
        <v>643</v>
      </c>
      <c r="B270" s="41">
        <v>6</v>
      </c>
      <c r="C270" s="24" t="s">
        <v>932</v>
      </c>
      <c r="D270" s="24" t="e">
        <v>#N/A</v>
      </c>
      <c r="E270" s="49">
        <v>2273218</v>
      </c>
    </row>
    <row r="271" spans="1:5" x14ac:dyDescent="0.25">
      <c r="A271" s="41" t="s">
        <v>644</v>
      </c>
      <c r="B271" s="41">
        <v>6</v>
      </c>
      <c r="C271" s="24" t="s">
        <v>933</v>
      </c>
      <c r="D271" s="24" t="e">
        <v>#N/A</v>
      </c>
      <c r="E271" s="49">
        <v>5475690</v>
      </c>
    </row>
    <row r="272" spans="1:5" x14ac:dyDescent="0.25">
      <c r="A272" s="41" t="s">
        <v>934</v>
      </c>
      <c r="B272" s="41">
        <v>6</v>
      </c>
      <c r="C272" s="24" t="s">
        <v>935</v>
      </c>
      <c r="D272" s="24" t="e">
        <v>#N/A</v>
      </c>
      <c r="E272" s="49">
        <v>0</v>
      </c>
    </row>
  </sheetData>
  <autoFilter ref="A1:E272" xr:uid="{00000000-0009-0000-0000-000010000000}">
    <sortState xmlns:xlrd2="http://schemas.microsoft.com/office/spreadsheetml/2017/richdata2" ref="A2:E272">
      <sortCondition ref="D1:D272"/>
    </sortState>
  </autoFilter>
  <pageMargins left="0.7" right="0.7" top="0.75" bottom="0.75" header="0.3" footer="0.3"/>
  <pageSetup paperSize="9" scale="6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2" filterMode="1"/>
  <dimension ref="A1:E281"/>
  <sheetViews>
    <sheetView zoomScale="145" zoomScaleNormal="145" zoomScaleSheetLayoutView="100" workbookViewId="0">
      <pane xSplit="2" ySplit="1" topLeftCell="C2" activePane="bottomRight" state="frozen"/>
      <selection activeCell="C37" sqref="C37"/>
      <selection pane="topRight" activeCell="C37" sqref="C37"/>
      <selection pane="bottomLeft" activeCell="C37" sqref="C37"/>
      <selection pane="bottomRight" activeCell="E281" sqref="E281"/>
    </sheetView>
  </sheetViews>
  <sheetFormatPr baseColWidth="10" defaultColWidth="11.42578125" defaultRowHeight="12" x14ac:dyDescent="0.2"/>
  <cols>
    <col min="1" max="1" width="10.7109375" style="41" customWidth="1"/>
    <col min="2" max="2" width="10.7109375" style="26" customWidth="1"/>
    <col min="3" max="3" width="52.85546875" style="24" customWidth="1"/>
    <col min="4" max="4" width="29.85546875" style="24" customWidth="1"/>
    <col min="5" max="5" width="15.85546875" style="54" customWidth="1"/>
    <col min="6" max="257" width="11.42578125" style="24"/>
    <col min="258" max="259" width="10.7109375" style="24" customWidth="1"/>
    <col min="260" max="260" width="52.85546875" style="24" customWidth="1"/>
    <col min="261" max="261" width="15.85546875" style="24" customWidth="1"/>
    <col min="262" max="513" width="11.42578125" style="24"/>
    <col min="514" max="515" width="10.7109375" style="24" customWidth="1"/>
    <col min="516" max="516" width="52.85546875" style="24" customWidth="1"/>
    <col min="517" max="517" width="15.85546875" style="24" customWidth="1"/>
    <col min="518" max="769" width="11.42578125" style="24"/>
    <col min="770" max="771" width="10.7109375" style="24" customWidth="1"/>
    <col min="772" max="772" width="52.85546875" style="24" customWidth="1"/>
    <col min="773" max="773" width="15.85546875" style="24" customWidth="1"/>
    <col min="774" max="1025" width="11.42578125" style="24"/>
    <col min="1026" max="1027" width="10.7109375" style="24" customWidth="1"/>
    <col min="1028" max="1028" width="52.85546875" style="24" customWidth="1"/>
    <col min="1029" max="1029" width="15.85546875" style="24" customWidth="1"/>
    <col min="1030" max="1281" width="11.42578125" style="24"/>
    <col min="1282" max="1283" width="10.7109375" style="24" customWidth="1"/>
    <col min="1284" max="1284" width="52.85546875" style="24" customWidth="1"/>
    <col min="1285" max="1285" width="15.85546875" style="24" customWidth="1"/>
    <col min="1286" max="1537" width="11.42578125" style="24"/>
    <col min="1538" max="1539" width="10.7109375" style="24" customWidth="1"/>
    <col min="1540" max="1540" width="52.85546875" style="24" customWidth="1"/>
    <col min="1541" max="1541" width="15.85546875" style="24" customWidth="1"/>
    <col min="1542" max="1793" width="11.42578125" style="24"/>
    <col min="1794" max="1795" width="10.7109375" style="24" customWidth="1"/>
    <col min="1796" max="1796" width="52.85546875" style="24" customWidth="1"/>
    <col min="1797" max="1797" width="15.85546875" style="24" customWidth="1"/>
    <col min="1798" max="2049" width="11.42578125" style="24"/>
    <col min="2050" max="2051" width="10.7109375" style="24" customWidth="1"/>
    <col min="2052" max="2052" width="52.85546875" style="24" customWidth="1"/>
    <col min="2053" max="2053" width="15.85546875" style="24" customWidth="1"/>
    <col min="2054" max="2305" width="11.42578125" style="24"/>
    <col min="2306" max="2307" width="10.7109375" style="24" customWidth="1"/>
    <col min="2308" max="2308" width="52.85546875" style="24" customWidth="1"/>
    <col min="2309" max="2309" width="15.85546875" style="24" customWidth="1"/>
    <col min="2310" max="2561" width="11.42578125" style="24"/>
    <col min="2562" max="2563" width="10.7109375" style="24" customWidth="1"/>
    <col min="2564" max="2564" width="52.85546875" style="24" customWidth="1"/>
    <col min="2565" max="2565" width="15.85546875" style="24" customWidth="1"/>
    <col min="2566" max="2817" width="11.42578125" style="24"/>
    <col min="2818" max="2819" width="10.7109375" style="24" customWidth="1"/>
    <col min="2820" max="2820" width="52.85546875" style="24" customWidth="1"/>
    <col min="2821" max="2821" width="15.85546875" style="24" customWidth="1"/>
    <col min="2822" max="3073" width="11.42578125" style="24"/>
    <col min="3074" max="3075" width="10.7109375" style="24" customWidth="1"/>
    <col min="3076" max="3076" width="52.85546875" style="24" customWidth="1"/>
    <col min="3077" max="3077" width="15.85546875" style="24" customWidth="1"/>
    <col min="3078" max="3329" width="11.42578125" style="24"/>
    <col min="3330" max="3331" width="10.7109375" style="24" customWidth="1"/>
    <col min="3332" max="3332" width="52.85546875" style="24" customWidth="1"/>
    <col min="3333" max="3333" width="15.85546875" style="24" customWidth="1"/>
    <col min="3334" max="3585" width="11.42578125" style="24"/>
    <col min="3586" max="3587" width="10.7109375" style="24" customWidth="1"/>
    <col min="3588" max="3588" width="52.85546875" style="24" customWidth="1"/>
    <col min="3589" max="3589" width="15.85546875" style="24" customWidth="1"/>
    <col min="3590" max="3841" width="11.42578125" style="24"/>
    <col min="3842" max="3843" width="10.7109375" style="24" customWidth="1"/>
    <col min="3844" max="3844" width="52.85546875" style="24" customWidth="1"/>
    <col min="3845" max="3845" width="15.85546875" style="24" customWidth="1"/>
    <col min="3846" max="4097" width="11.42578125" style="24"/>
    <col min="4098" max="4099" width="10.7109375" style="24" customWidth="1"/>
    <col min="4100" max="4100" width="52.85546875" style="24" customWidth="1"/>
    <col min="4101" max="4101" width="15.85546875" style="24" customWidth="1"/>
    <col min="4102" max="4353" width="11.42578125" style="24"/>
    <col min="4354" max="4355" width="10.7109375" style="24" customWidth="1"/>
    <col min="4356" max="4356" width="52.85546875" style="24" customWidth="1"/>
    <col min="4357" max="4357" width="15.85546875" style="24" customWidth="1"/>
    <col min="4358" max="4609" width="11.42578125" style="24"/>
    <col min="4610" max="4611" width="10.7109375" style="24" customWidth="1"/>
    <col min="4612" max="4612" width="52.85546875" style="24" customWidth="1"/>
    <col min="4613" max="4613" width="15.85546875" style="24" customWidth="1"/>
    <col min="4614" max="4865" width="11.42578125" style="24"/>
    <col min="4866" max="4867" width="10.7109375" style="24" customWidth="1"/>
    <col min="4868" max="4868" width="52.85546875" style="24" customWidth="1"/>
    <col min="4869" max="4869" width="15.85546875" style="24" customWidth="1"/>
    <col min="4870" max="5121" width="11.42578125" style="24"/>
    <col min="5122" max="5123" width="10.7109375" style="24" customWidth="1"/>
    <col min="5124" max="5124" width="52.85546875" style="24" customWidth="1"/>
    <col min="5125" max="5125" width="15.85546875" style="24" customWidth="1"/>
    <col min="5126" max="5377" width="11.42578125" style="24"/>
    <col min="5378" max="5379" width="10.7109375" style="24" customWidth="1"/>
    <col min="5380" max="5380" width="52.85546875" style="24" customWidth="1"/>
    <col min="5381" max="5381" width="15.85546875" style="24" customWidth="1"/>
    <col min="5382" max="5633" width="11.42578125" style="24"/>
    <col min="5634" max="5635" width="10.7109375" style="24" customWidth="1"/>
    <col min="5636" max="5636" width="52.85546875" style="24" customWidth="1"/>
    <col min="5637" max="5637" width="15.85546875" style="24" customWidth="1"/>
    <col min="5638" max="5889" width="11.42578125" style="24"/>
    <col min="5890" max="5891" width="10.7109375" style="24" customWidth="1"/>
    <col min="5892" max="5892" width="52.85546875" style="24" customWidth="1"/>
    <col min="5893" max="5893" width="15.85546875" style="24" customWidth="1"/>
    <col min="5894" max="6145" width="11.42578125" style="24"/>
    <col min="6146" max="6147" width="10.7109375" style="24" customWidth="1"/>
    <col min="6148" max="6148" width="52.85546875" style="24" customWidth="1"/>
    <col min="6149" max="6149" width="15.85546875" style="24" customWidth="1"/>
    <col min="6150" max="6401" width="11.42578125" style="24"/>
    <col min="6402" max="6403" width="10.7109375" style="24" customWidth="1"/>
    <col min="6404" max="6404" width="52.85546875" style="24" customWidth="1"/>
    <col min="6405" max="6405" width="15.85546875" style="24" customWidth="1"/>
    <col min="6406" max="6657" width="11.42578125" style="24"/>
    <col min="6658" max="6659" width="10.7109375" style="24" customWidth="1"/>
    <col min="6660" max="6660" width="52.85546875" style="24" customWidth="1"/>
    <col min="6661" max="6661" width="15.85546875" style="24" customWidth="1"/>
    <col min="6662" max="6913" width="11.42578125" style="24"/>
    <col min="6914" max="6915" width="10.7109375" style="24" customWidth="1"/>
    <col min="6916" max="6916" width="52.85546875" style="24" customWidth="1"/>
    <col min="6917" max="6917" width="15.85546875" style="24" customWidth="1"/>
    <col min="6918" max="7169" width="11.42578125" style="24"/>
    <col min="7170" max="7171" width="10.7109375" style="24" customWidth="1"/>
    <col min="7172" max="7172" width="52.85546875" style="24" customWidth="1"/>
    <col min="7173" max="7173" width="15.85546875" style="24" customWidth="1"/>
    <col min="7174" max="7425" width="11.42578125" style="24"/>
    <col min="7426" max="7427" width="10.7109375" style="24" customWidth="1"/>
    <col min="7428" max="7428" width="52.85546875" style="24" customWidth="1"/>
    <col min="7429" max="7429" width="15.85546875" style="24" customWidth="1"/>
    <col min="7430" max="7681" width="11.42578125" style="24"/>
    <col min="7682" max="7683" width="10.7109375" style="24" customWidth="1"/>
    <col min="7684" max="7684" width="52.85546875" style="24" customWidth="1"/>
    <col min="7685" max="7685" width="15.85546875" style="24" customWidth="1"/>
    <col min="7686" max="7937" width="11.42578125" style="24"/>
    <col min="7938" max="7939" width="10.7109375" style="24" customWidth="1"/>
    <col min="7940" max="7940" width="52.85546875" style="24" customWidth="1"/>
    <col min="7941" max="7941" width="15.85546875" style="24" customWidth="1"/>
    <col min="7942" max="8193" width="11.42578125" style="24"/>
    <col min="8194" max="8195" width="10.7109375" style="24" customWidth="1"/>
    <col min="8196" max="8196" width="52.85546875" style="24" customWidth="1"/>
    <col min="8197" max="8197" width="15.85546875" style="24" customWidth="1"/>
    <col min="8198" max="8449" width="11.42578125" style="24"/>
    <col min="8450" max="8451" width="10.7109375" style="24" customWidth="1"/>
    <col min="8452" max="8452" width="52.85546875" style="24" customWidth="1"/>
    <col min="8453" max="8453" width="15.85546875" style="24" customWidth="1"/>
    <col min="8454" max="8705" width="11.42578125" style="24"/>
    <col min="8706" max="8707" width="10.7109375" style="24" customWidth="1"/>
    <col min="8708" max="8708" width="52.85546875" style="24" customWidth="1"/>
    <col min="8709" max="8709" width="15.85546875" style="24" customWidth="1"/>
    <col min="8710" max="8961" width="11.42578125" style="24"/>
    <col min="8962" max="8963" width="10.7109375" style="24" customWidth="1"/>
    <col min="8964" max="8964" width="52.85546875" style="24" customWidth="1"/>
    <col min="8965" max="8965" width="15.85546875" style="24" customWidth="1"/>
    <col min="8966" max="9217" width="11.42578125" style="24"/>
    <col min="9218" max="9219" width="10.7109375" style="24" customWidth="1"/>
    <col min="9220" max="9220" width="52.85546875" style="24" customWidth="1"/>
    <col min="9221" max="9221" width="15.85546875" style="24" customWidth="1"/>
    <col min="9222" max="9473" width="11.42578125" style="24"/>
    <col min="9474" max="9475" width="10.7109375" style="24" customWidth="1"/>
    <col min="9476" max="9476" width="52.85546875" style="24" customWidth="1"/>
    <col min="9477" max="9477" width="15.85546875" style="24" customWidth="1"/>
    <col min="9478" max="9729" width="11.42578125" style="24"/>
    <col min="9730" max="9731" width="10.7109375" style="24" customWidth="1"/>
    <col min="9732" max="9732" width="52.85546875" style="24" customWidth="1"/>
    <col min="9733" max="9733" width="15.85546875" style="24" customWidth="1"/>
    <col min="9734" max="9985" width="11.42578125" style="24"/>
    <col min="9986" max="9987" width="10.7109375" style="24" customWidth="1"/>
    <col min="9988" max="9988" width="52.85546875" style="24" customWidth="1"/>
    <col min="9989" max="9989" width="15.85546875" style="24" customWidth="1"/>
    <col min="9990" max="10241" width="11.42578125" style="24"/>
    <col min="10242" max="10243" width="10.7109375" style="24" customWidth="1"/>
    <col min="10244" max="10244" width="52.85546875" style="24" customWidth="1"/>
    <col min="10245" max="10245" width="15.85546875" style="24" customWidth="1"/>
    <col min="10246" max="10497" width="11.42578125" style="24"/>
    <col min="10498" max="10499" width="10.7109375" style="24" customWidth="1"/>
    <col min="10500" max="10500" width="52.85546875" style="24" customWidth="1"/>
    <col min="10501" max="10501" width="15.85546875" style="24" customWidth="1"/>
    <col min="10502" max="10753" width="11.42578125" style="24"/>
    <col min="10754" max="10755" width="10.7109375" style="24" customWidth="1"/>
    <col min="10756" max="10756" width="52.85546875" style="24" customWidth="1"/>
    <col min="10757" max="10757" width="15.85546875" style="24" customWidth="1"/>
    <col min="10758" max="11009" width="11.42578125" style="24"/>
    <col min="11010" max="11011" width="10.7109375" style="24" customWidth="1"/>
    <col min="11012" max="11012" width="52.85546875" style="24" customWidth="1"/>
    <col min="11013" max="11013" width="15.85546875" style="24" customWidth="1"/>
    <col min="11014" max="11265" width="11.42578125" style="24"/>
    <col min="11266" max="11267" width="10.7109375" style="24" customWidth="1"/>
    <col min="11268" max="11268" width="52.85546875" style="24" customWidth="1"/>
    <col min="11269" max="11269" width="15.85546875" style="24" customWidth="1"/>
    <col min="11270" max="11521" width="11.42578125" style="24"/>
    <col min="11522" max="11523" width="10.7109375" style="24" customWidth="1"/>
    <col min="11524" max="11524" width="52.85546875" style="24" customWidth="1"/>
    <col min="11525" max="11525" width="15.85546875" style="24" customWidth="1"/>
    <col min="11526" max="11777" width="11.42578125" style="24"/>
    <col min="11778" max="11779" width="10.7109375" style="24" customWidth="1"/>
    <col min="11780" max="11780" width="52.85546875" style="24" customWidth="1"/>
    <col min="11781" max="11781" width="15.85546875" style="24" customWidth="1"/>
    <col min="11782" max="12033" width="11.42578125" style="24"/>
    <col min="12034" max="12035" width="10.7109375" style="24" customWidth="1"/>
    <col min="12036" max="12036" width="52.85546875" style="24" customWidth="1"/>
    <col min="12037" max="12037" width="15.85546875" style="24" customWidth="1"/>
    <col min="12038" max="12289" width="11.42578125" style="24"/>
    <col min="12290" max="12291" width="10.7109375" style="24" customWidth="1"/>
    <col min="12292" max="12292" width="52.85546875" style="24" customWidth="1"/>
    <col min="12293" max="12293" width="15.85546875" style="24" customWidth="1"/>
    <col min="12294" max="12545" width="11.42578125" style="24"/>
    <col min="12546" max="12547" width="10.7109375" style="24" customWidth="1"/>
    <col min="12548" max="12548" width="52.85546875" style="24" customWidth="1"/>
    <col min="12549" max="12549" width="15.85546875" style="24" customWidth="1"/>
    <col min="12550" max="12801" width="11.42578125" style="24"/>
    <col min="12802" max="12803" width="10.7109375" style="24" customWidth="1"/>
    <col min="12804" max="12804" width="52.85546875" style="24" customWidth="1"/>
    <col min="12805" max="12805" width="15.85546875" style="24" customWidth="1"/>
    <col min="12806" max="13057" width="11.42578125" style="24"/>
    <col min="13058" max="13059" width="10.7109375" style="24" customWidth="1"/>
    <col min="13060" max="13060" width="52.85546875" style="24" customWidth="1"/>
    <col min="13061" max="13061" width="15.85546875" style="24" customWidth="1"/>
    <col min="13062" max="13313" width="11.42578125" style="24"/>
    <col min="13314" max="13315" width="10.7109375" style="24" customWidth="1"/>
    <col min="13316" max="13316" width="52.85546875" style="24" customWidth="1"/>
    <col min="13317" max="13317" width="15.85546875" style="24" customWidth="1"/>
    <col min="13318" max="13569" width="11.42578125" style="24"/>
    <col min="13570" max="13571" width="10.7109375" style="24" customWidth="1"/>
    <col min="13572" max="13572" width="52.85546875" style="24" customWidth="1"/>
    <col min="13573" max="13573" width="15.85546875" style="24" customWidth="1"/>
    <col min="13574" max="13825" width="11.42578125" style="24"/>
    <col min="13826" max="13827" width="10.7109375" style="24" customWidth="1"/>
    <col min="13828" max="13828" width="52.85546875" style="24" customWidth="1"/>
    <col min="13829" max="13829" width="15.85546875" style="24" customWidth="1"/>
    <col min="13830" max="14081" width="11.42578125" style="24"/>
    <col min="14082" max="14083" width="10.7109375" style="24" customWidth="1"/>
    <col min="14084" max="14084" width="52.85546875" style="24" customWidth="1"/>
    <col min="14085" max="14085" width="15.85546875" style="24" customWidth="1"/>
    <col min="14086" max="14337" width="11.42578125" style="24"/>
    <col min="14338" max="14339" width="10.7109375" style="24" customWidth="1"/>
    <col min="14340" max="14340" width="52.85546875" style="24" customWidth="1"/>
    <col min="14341" max="14341" width="15.85546875" style="24" customWidth="1"/>
    <col min="14342" max="14593" width="11.42578125" style="24"/>
    <col min="14594" max="14595" width="10.7109375" style="24" customWidth="1"/>
    <col min="14596" max="14596" width="52.85546875" style="24" customWidth="1"/>
    <col min="14597" max="14597" width="15.85546875" style="24" customWidth="1"/>
    <col min="14598" max="14849" width="11.42578125" style="24"/>
    <col min="14850" max="14851" width="10.7109375" style="24" customWidth="1"/>
    <col min="14852" max="14852" width="52.85546875" style="24" customWidth="1"/>
    <col min="14853" max="14853" width="15.85546875" style="24" customWidth="1"/>
    <col min="14854" max="15105" width="11.42578125" style="24"/>
    <col min="15106" max="15107" width="10.7109375" style="24" customWidth="1"/>
    <col min="15108" max="15108" width="52.85546875" style="24" customWidth="1"/>
    <col min="15109" max="15109" width="15.85546875" style="24" customWidth="1"/>
    <col min="15110" max="15361" width="11.42578125" style="24"/>
    <col min="15362" max="15363" width="10.7109375" style="24" customWidth="1"/>
    <col min="15364" max="15364" width="52.85546875" style="24" customWidth="1"/>
    <col min="15365" max="15365" width="15.85546875" style="24" customWidth="1"/>
    <col min="15366" max="15617" width="11.42578125" style="24"/>
    <col min="15618" max="15619" width="10.7109375" style="24" customWidth="1"/>
    <col min="15620" max="15620" width="52.85546875" style="24" customWidth="1"/>
    <col min="15621" max="15621" width="15.85546875" style="24" customWidth="1"/>
    <col min="15622" max="15873" width="11.42578125" style="24"/>
    <col min="15874" max="15875" width="10.7109375" style="24" customWidth="1"/>
    <col min="15876" max="15876" width="52.85546875" style="24" customWidth="1"/>
    <col min="15877" max="15877" width="15.85546875" style="24" customWidth="1"/>
    <col min="15878" max="16129" width="11.42578125" style="24"/>
    <col min="16130" max="16131" width="10.7109375" style="24" customWidth="1"/>
    <col min="16132" max="16132" width="52.85546875" style="24" customWidth="1"/>
    <col min="16133" max="16133" width="15.85546875" style="24" customWidth="1"/>
    <col min="16134" max="16384" width="11.42578125" style="24"/>
  </cols>
  <sheetData>
    <row r="1" spans="1:5" x14ac:dyDescent="0.2">
      <c r="A1" s="42" t="s">
        <v>25</v>
      </c>
      <c r="B1" s="42" t="s">
        <v>26</v>
      </c>
      <c r="C1" s="42" t="s">
        <v>27</v>
      </c>
      <c r="D1" s="42" t="s">
        <v>849</v>
      </c>
      <c r="E1" s="43" t="s">
        <v>31</v>
      </c>
    </row>
    <row r="2" spans="1:5" x14ac:dyDescent="0.2">
      <c r="A2" s="41" t="s">
        <v>34</v>
      </c>
      <c r="B2" s="26">
        <f t="shared" ref="B2:B65" si="0">LEN(A2)</f>
        <v>2</v>
      </c>
      <c r="C2" s="24" t="s">
        <v>35</v>
      </c>
      <c r="D2" s="24" t="s">
        <v>34</v>
      </c>
      <c r="E2" s="54">
        <v>25124482766</v>
      </c>
    </row>
    <row r="3" spans="1:5" hidden="1" x14ac:dyDescent="0.2">
      <c r="A3" s="41" t="s">
        <v>36</v>
      </c>
      <c r="B3" s="26">
        <f t="shared" si="0"/>
        <v>4</v>
      </c>
      <c r="C3" s="24" t="s">
        <v>37</v>
      </c>
      <c r="D3" s="24" t="s">
        <v>36</v>
      </c>
      <c r="E3" s="55">
        <v>681274</v>
      </c>
    </row>
    <row r="4" spans="1:5" hidden="1" x14ac:dyDescent="0.2">
      <c r="A4" s="41" t="s">
        <v>867</v>
      </c>
      <c r="B4" s="26">
        <f t="shared" si="0"/>
        <v>6</v>
      </c>
      <c r="C4" s="24" t="s">
        <v>868</v>
      </c>
      <c r="D4" s="24" t="s">
        <v>867</v>
      </c>
      <c r="E4" s="54">
        <v>0</v>
      </c>
    </row>
    <row r="5" spans="1:5" hidden="1" x14ac:dyDescent="0.2">
      <c r="A5" s="41" t="s">
        <v>38</v>
      </c>
      <c r="B5" s="26">
        <f t="shared" si="0"/>
        <v>6</v>
      </c>
      <c r="C5" s="24" t="s">
        <v>678</v>
      </c>
      <c r="D5" s="24" t="s">
        <v>38</v>
      </c>
      <c r="E5" s="55">
        <v>681274</v>
      </c>
    </row>
    <row r="6" spans="1:5" hidden="1" x14ac:dyDescent="0.2">
      <c r="A6" s="41" t="s">
        <v>40</v>
      </c>
      <c r="B6" s="26">
        <f t="shared" si="0"/>
        <v>4</v>
      </c>
      <c r="C6" s="24" t="s">
        <v>41</v>
      </c>
      <c r="D6" s="24" t="s">
        <v>40</v>
      </c>
      <c r="E6" s="54">
        <v>25123801492</v>
      </c>
    </row>
    <row r="7" spans="1:5" hidden="1" x14ac:dyDescent="0.2">
      <c r="A7" s="41" t="s">
        <v>42</v>
      </c>
      <c r="B7" s="26">
        <f t="shared" si="0"/>
        <v>6</v>
      </c>
      <c r="C7" s="56" t="s">
        <v>679</v>
      </c>
      <c r="D7" s="24" t="s">
        <v>42</v>
      </c>
      <c r="E7" s="54">
        <v>25123801492</v>
      </c>
    </row>
    <row r="8" spans="1:5" hidden="1" x14ac:dyDescent="0.2">
      <c r="A8" s="41" t="s">
        <v>861</v>
      </c>
      <c r="B8" s="26">
        <f t="shared" si="0"/>
        <v>4</v>
      </c>
      <c r="C8" s="24" t="s">
        <v>862</v>
      </c>
      <c r="D8" s="24" t="s">
        <v>861</v>
      </c>
      <c r="E8" s="54">
        <v>0</v>
      </c>
    </row>
    <row r="9" spans="1:5" hidden="1" x14ac:dyDescent="0.2">
      <c r="A9" s="41" t="s">
        <v>869</v>
      </c>
      <c r="B9" s="26">
        <f t="shared" si="0"/>
        <v>6</v>
      </c>
      <c r="C9" s="57" t="s">
        <v>870</v>
      </c>
      <c r="D9" s="24" t="s">
        <v>869</v>
      </c>
      <c r="E9" s="54">
        <v>0</v>
      </c>
    </row>
    <row r="10" spans="1:5" x14ac:dyDescent="0.2">
      <c r="A10" s="41" t="s">
        <v>46</v>
      </c>
      <c r="B10" s="26">
        <f t="shared" si="0"/>
        <v>2</v>
      </c>
      <c r="C10" s="24" t="s">
        <v>850</v>
      </c>
      <c r="D10" s="24" t="s">
        <v>46</v>
      </c>
      <c r="E10" s="54">
        <v>20931943962</v>
      </c>
    </row>
    <row r="11" spans="1:5" hidden="1" x14ac:dyDescent="0.2">
      <c r="A11" s="41" t="s">
        <v>56</v>
      </c>
      <c r="B11" s="26">
        <f t="shared" si="0"/>
        <v>4</v>
      </c>
      <c r="C11" s="24" t="s">
        <v>57</v>
      </c>
      <c r="D11" s="24" t="s">
        <v>56</v>
      </c>
      <c r="E11" s="49">
        <v>20931943962</v>
      </c>
    </row>
    <row r="12" spans="1:5" x14ac:dyDescent="0.2">
      <c r="A12" s="41" t="s">
        <v>58</v>
      </c>
      <c r="B12" s="26">
        <f t="shared" si="0"/>
        <v>2</v>
      </c>
      <c r="C12" s="24" t="s">
        <v>59</v>
      </c>
      <c r="D12" s="24" t="s">
        <v>58</v>
      </c>
      <c r="E12" s="54">
        <v>248831647149</v>
      </c>
    </row>
    <row r="13" spans="1:5" hidden="1" x14ac:dyDescent="0.2">
      <c r="A13" s="41" t="s">
        <v>60</v>
      </c>
      <c r="B13" s="26">
        <f t="shared" si="0"/>
        <v>4</v>
      </c>
      <c r="C13" s="24" t="s">
        <v>61</v>
      </c>
      <c r="D13" s="24" t="s">
        <v>60</v>
      </c>
      <c r="E13" s="54">
        <v>253413093885</v>
      </c>
    </row>
    <row r="14" spans="1:5" hidden="1" x14ac:dyDescent="0.2">
      <c r="A14" s="41" t="s">
        <v>871</v>
      </c>
      <c r="B14" s="26">
        <f t="shared" si="0"/>
        <v>6</v>
      </c>
      <c r="C14" s="57" t="s">
        <v>872</v>
      </c>
      <c r="D14" s="24" t="s">
        <v>871</v>
      </c>
      <c r="E14" s="54">
        <v>0</v>
      </c>
    </row>
    <row r="15" spans="1:5" hidden="1" x14ac:dyDescent="0.2">
      <c r="A15" s="41" t="s">
        <v>62</v>
      </c>
      <c r="B15" s="26">
        <f t="shared" si="0"/>
        <v>6</v>
      </c>
      <c r="C15" s="57" t="s">
        <v>873</v>
      </c>
      <c r="D15" s="24" t="s">
        <v>62</v>
      </c>
      <c r="E15" s="54">
        <v>1241627343</v>
      </c>
    </row>
    <row r="16" spans="1:5" hidden="1" x14ac:dyDescent="0.2">
      <c r="A16" s="41" t="s">
        <v>64</v>
      </c>
      <c r="B16" s="26">
        <f t="shared" si="0"/>
        <v>6</v>
      </c>
      <c r="C16" s="57" t="s">
        <v>689</v>
      </c>
      <c r="D16" s="24" t="s">
        <v>64</v>
      </c>
      <c r="E16" s="54">
        <v>4848349813</v>
      </c>
    </row>
    <row r="17" spans="1:5" hidden="1" x14ac:dyDescent="0.2">
      <c r="A17" s="41" t="s">
        <v>66</v>
      </c>
      <c r="B17" s="26">
        <f t="shared" si="0"/>
        <v>6</v>
      </c>
      <c r="C17" s="57" t="s">
        <v>874</v>
      </c>
      <c r="D17" s="24" t="s">
        <v>66</v>
      </c>
      <c r="E17" s="54">
        <v>3013837646</v>
      </c>
    </row>
    <row r="18" spans="1:5" hidden="1" x14ac:dyDescent="0.2">
      <c r="A18" s="41" t="s">
        <v>68</v>
      </c>
      <c r="B18" s="26">
        <f t="shared" si="0"/>
        <v>6</v>
      </c>
      <c r="C18" s="57" t="s">
        <v>875</v>
      </c>
      <c r="D18" s="24" t="s">
        <v>68</v>
      </c>
      <c r="E18" s="54">
        <v>859678176</v>
      </c>
    </row>
    <row r="19" spans="1:5" hidden="1" x14ac:dyDescent="0.2">
      <c r="A19" s="41" t="s">
        <v>70</v>
      </c>
      <c r="B19" s="26">
        <f t="shared" si="0"/>
        <v>6</v>
      </c>
      <c r="C19" s="57" t="s">
        <v>692</v>
      </c>
      <c r="D19" s="24" t="s">
        <v>70</v>
      </c>
      <c r="E19" s="54">
        <v>26866145248</v>
      </c>
    </row>
    <row r="20" spans="1:5" hidden="1" x14ac:dyDescent="0.2">
      <c r="A20" s="41" t="s">
        <v>72</v>
      </c>
      <c r="B20" s="26">
        <f t="shared" si="0"/>
        <v>6</v>
      </c>
      <c r="C20" s="57" t="s">
        <v>693</v>
      </c>
      <c r="D20" s="24" t="s">
        <v>72</v>
      </c>
      <c r="E20" s="54">
        <v>173211212259</v>
      </c>
    </row>
    <row r="21" spans="1:5" hidden="1" x14ac:dyDescent="0.2">
      <c r="A21" s="41" t="s">
        <v>876</v>
      </c>
      <c r="B21" s="26">
        <f t="shared" si="0"/>
        <v>6</v>
      </c>
      <c r="C21" s="57" t="s">
        <v>15</v>
      </c>
      <c r="D21" s="24" t="s">
        <v>876</v>
      </c>
      <c r="E21" s="54">
        <v>0</v>
      </c>
    </row>
    <row r="22" spans="1:5" hidden="1" x14ac:dyDescent="0.2">
      <c r="A22" s="41" t="s">
        <v>74</v>
      </c>
      <c r="B22" s="26">
        <f t="shared" si="0"/>
        <v>6</v>
      </c>
      <c r="C22" s="57" t="s">
        <v>877</v>
      </c>
      <c r="D22" s="24" t="s">
        <v>74</v>
      </c>
      <c r="E22" s="54">
        <v>921485</v>
      </c>
    </row>
    <row r="23" spans="1:5" hidden="1" x14ac:dyDescent="0.2">
      <c r="A23" s="41" t="s">
        <v>76</v>
      </c>
      <c r="B23" s="26">
        <f t="shared" si="0"/>
        <v>6</v>
      </c>
      <c r="C23" s="57" t="s">
        <v>695</v>
      </c>
      <c r="D23" s="24" t="s">
        <v>76</v>
      </c>
      <c r="E23" s="49">
        <v>43371321915</v>
      </c>
    </row>
    <row r="24" spans="1:5" hidden="1" x14ac:dyDescent="0.2">
      <c r="A24" s="41" t="s">
        <v>78</v>
      </c>
      <c r="B24" s="26">
        <f t="shared" si="0"/>
        <v>4</v>
      </c>
      <c r="C24" s="24" t="s">
        <v>79</v>
      </c>
      <c r="D24" s="24" t="s">
        <v>78</v>
      </c>
      <c r="E24" s="54">
        <v>666422412</v>
      </c>
    </row>
    <row r="25" spans="1:5" hidden="1" x14ac:dyDescent="0.2">
      <c r="A25" s="41" t="s">
        <v>878</v>
      </c>
      <c r="B25" s="26">
        <f t="shared" si="0"/>
        <v>6</v>
      </c>
      <c r="C25" s="57" t="s">
        <v>879</v>
      </c>
      <c r="D25" s="24" t="s">
        <v>878</v>
      </c>
      <c r="E25" s="54">
        <v>0</v>
      </c>
    </row>
    <row r="26" spans="1:5" hidden="1" x14ac:dyDescent="0.2">
      <c r="A26" s="41" t="s">
        <v>80</v>
      </c>
      <c r="B26" s="26">
        <f t="shared" si="0"/>
        <v>6</v>
      </c>
      <c r="C26" s="57" t="s">
        <v>880</v>
      </c>
      <c r="D26" s="24" t="s">
        <v>80</v>
      </c>
      <c r="E26" s="54">
        <v>666422412</v>
      </c>
    </row>
    <row r="27" spans="1:5" hidden="1" x14ac:dyDescent="0.2">
      <c r="A27" s="41" t="s">
        <v>863</v>
      </c>
      <c r="B27" s="26">
        <f t="shared" si="0"/>
        <v>4</v>
      </c>
      <c r="C27" s="24" t="s">
        <v>864</v>
      </c>
      <c r="D27" s="24" t="s">
        <v>863</v>
      </c>
      <c r="E27" s="54">
        <v>0</v>
      </c>
    </row>
    <row r="28" spans="1:5" hidden="1" x14ac:dyDescent="0.2">
      <c r="A28" s="41" t="s">
        <v>881</v>
      </c>
      <c r="B28" s="26">
        <f t="shared" si="0"/>
        <v>6</v>
      </c>
      <c r="C28" s="57" t="s">
        <v>703</v>
      </c>
      <c r="D28" s="24" t="s">
        <v>881</v>
      </c>
      <c r="E28" s="54">
        <v>0</v>
      </c>
    </row>
    <row r="29" spans="1:5" hidden="1" x14ac:dyDescent="0.2">
      <c r="A29" s="41" t="s">
        <v>81</v>
      </c>
      <c r="B29" s="26">
        <f t="shared" si="0"/>
        <v>4</v>
      </c>
      <c r="C29" s="24" t="s">
        <v>82</v>
      </c>
      <c r="D29" s="24" t="s">
        <v>81</v>
      </c>
      <c r="E29" s="54">
        <v>-5247869148</v>
      </c>
    </row>
    <row r="30" spans="1:5" hidden="1" x14ac:dyDescent="0.2">
      <c r="A30" s="41" t="s">
        <v>83</v>
      </c>
      <c r="B30" s="26">
        <f t="shared" si="0"/>
        <v>6</v>
      </c>
      <c r="C30" s="57" t="s">
        <v>703</v>
      </c>
      <c r="D30" s="24" t="s">
        <v>83</v>
      </c>
      <c r="E30" s="54">
        <v>-5205873273</v>
      </c>
    </row>
    <row r="31" spans="1:5" hidden="1" x14ac:dyDescent="0.2">
      <c r="A31" s="41" t="s">
        <v>84</v>
      </c>
      <c r="B31" s="26">
        <f t="shared" si="0"/>
        <v>6</v>
      </c>
      <c r="C31" s="57" t="s">
        <v>882</v>
      </c>
      <c r="D31" s="24" t="s">
        <v>84</v>
      </c>
      <c r="E31" s="54">
        <v>-41995875</v>
      </c>
    </row>
    <row r="32" spans="1:5" x14ac:dyDescent="0.2">
      <c r="A32" s="41" t="s">
        <v>126</v>
      </c>
      <c r="B32" s="26">
        <f t="shared" si="0"/>
        <v>2</v>
      </c>
      <c r="C32" s="24" t="s">
        <v>127</v>
      </c>
      <c r="D32" s="24" t="s">
        <v>126</v>
      </c>
      <c r="E32" s="54">
        <v>770545735</v>
      </c>
    </row>
    <row r="33" spans="1:5" hidden="1" x14ac:dyDescent="0.2">
      <c r="A33" s="41" t="s">
        <v>128</v>
      </c>
      <c r="B33" s="26">
        <f t="shared" si="0"/>
        <v>4</v>
      </c>
      <c r="C33" s="24" t="s">
        <v>129</v>
      </c>
      <c r="D33" s="24" t="s">
        <v>128</v>
      </c>
      <c r="E33" s="54">
        <v>845025880</v>
      </c>
    </row>
    <row r="34" spans="1:5" hidden="1" x14ac:dyDescent="0.2">
      <c r="A34" s="41" t="s">
        <v>130</v>
      </c>
      <c r="B34" s="26">
        <f t="shared" si="0"/>
        <v>6</v>
      </c>
      <c r="C34" s="24" t="s">
        <v>704</v>
      </c>
      <c r="D34" s="24" t="s">
        <v>130</v>
      </c>
      <c r="E34" s="54">
        <v>796681805</v>
      </c>
    </row>
    <row r="35" spans="1:5" hidden="1" x14ac:dyDescent="0.2">
      <c r="A35" s="41" t="s">
        <v>132</v>
      </c>
      <c r="B35" s="26">
        <f t="shared" si="0"/>
        <v>6</v>
      </c>
      <c r="C35" s="24" t="s">
        <v>705</v>
      </c>
      <c r="D35" s="24" t="s">
        <v>132</v>
      </c>
      <c r="E35" s="54">
        <v>48344075</v>
      </c>
    </row>
    <row r="36" spans="1:5" hidden="1" x14ac:dyDescent="0.2">
      <c r="A36" s="41" t="s">
        <v>134</v>
      </c>
      <c r="B36" s="26">
        <f t="shared" si="0"/>
        <v>4</v>
      </c>
      <c r="C36" s="24" t="s">
        <v>135</v>
      </c>
      <c r="D36" s="24" t="s">
        <v>134</v>
      </c>
      <c r="E36" s="54">
        <v>75877721</v>
      </c>
    </row>
    <row r="37" spans="1:5" hidden="1" x14ac:dyDescent="0.2">
      <c r="A37" s="41" t="s">
        <v>136</v>
      </c>
      <c r="B37" s="26">
        <f t="shared" si="0"/>
        <v>6</v>
      </c>
      <c r="C37" s="24" t="s">
        <v>706</v>
      </c>
      <c r="D37" s="24" t="s">
        <v>136</v>
      </c>
      <c r="E37" s="54">
        <v>28974284</v>
      </c>
    </row>
    <row r="38" spans="1:5" hidden="1" x14ac:dyDescent="0.2">
      <c r="A38" s="41" t="s">
        <v>138</v>
      </c>
      <c r="B38" s="26">
        <f t="shared" si="0"/>
        <v>6</v>
      </c>
      <c r="C38" s="24" t="s">
        <v>707</v>
      </c>
      <c r="D38" s="24" t="s">
        <v>138</v>
      </c>
      <c r="E38" s="54">
        <v>46903437</v>
      </c>
    </row>
    <row r="39" spans="1:5" hidden="1" x14ac:dyDescent="0.2">
      <c r="A39" s="41" t="s">
        <v>140</v>
      </c>
      <c r="B39" s="26">
        <f t="shared" si="0"/>
        <v>4</v>
      </c>
      <c r="C39" s="24" t="s">
        <v>141</v>
      </c>
      <c r="D39" s="24" t="s">
        <v>140</v>
      </c>
      <c r="E39" s="54">
        <v>1689800</v>
      </c>
    </row>
    <row r="40" spans="1:5" hidden="1" x14ac:dyDescent="0.2">
      <c r="A40" s="41" t="s">
        <v>142</v>
      </c>
      <c r="B40" s="26">
        <f t="shared" si="0"/>
        <v>6</v>
      </c>
      <c r="C40" s="24" t="s">
        <v>708</v>
      </c>
      <c r="D40" s="24" t="s">
        <v>142</v>
      </c>
      <c r="E40" s="54">
        <v>1689800</v>
      </c>
    </row>
    <row r="41" spans="1:5" hidden="1" x14ac:dyDescent="0.2">
      <c r="A41" s="41" t="s">
        <v>144</v>
      </c>
      <c r="B41" s="26">
        <f t="shared" si="0"/>
        <v>4</v>
      </c>
      <c r="C41" s="24" t="s">
        <v>145</v>
      </c>
      <c r="D41" s="24" t="s">
        <v>144</v>
      </c>
      <c r="E41" s="54">
        <v>-152047666</v>
      </c>
    </row>
    <row r="42" spans="1:5" hidden="1" x14ac:dyDescent="0.2">
      <c r="A42" s="41" t="s">
        <v>146</v>
      </c>
      <c r="B42" s="26">
        <f t="shared" si="0"/>
        <v>6</v>
      </c>
      <c r="C42" s="24" t="s">
        <v>709</v>
      </c>
      <c r="D42" s="24" t="s">
        <v>146</v>
      </c>
      <c r="E42" s="54">
        <v>-124193774</v>
      </c>
    </row>
    <row r="43" spans="1:5" hidden="1" x14ac:dyDescent="0.2">
      <c r="A43" s="41" t="s">
        <v>147</v>
      </c>
      <c r="B43" s="26">
        <f t="shared" si="0"/>
        <v>6</v>
      </c>
      <c r="C43" s="24" t="s">
        <v>710</v>
      </c>
      <c r="D43" s="24" t="s">
        <v>147</v>
      </c>
      <c r="E43" s="54">
        <v>-27713076</v>
      </c>
    </row>
    <row r="44" spans="1:5" hidden="1" x14ac:dyDescent="0.2">
      <c r="A44" s="41" t="s">
        <v>148</v>
      </c>
      <c r="B44" s="26">
        <f t="shared" si="0"/>
        <v>6</v>
      </c>
      <c r="C44" s="24" t="s">
        <v>711</v>
      </c>
      <c r="D44" s="24" t="s">
        <v>148</v>
      </c>
      <c r="E44" s="54">
        <v>-140816</v>
      </c>
    </row>
    <row r="45" spans="1:5" x14ac:dyDescent="0.2">
      <c r="A45" s="41" t="s">
        <v>149</v>
      </c>
      <c r="B45" s="26">
        <f t="shared" si="0"/>
        <v>2</v>
      </c>
      <c r="C45" s="24" t="s">
        <v>150</v>
      </c>
      <c r="D45" s="24" t="s">
        <v>149</v>
      </c>
      <c r="E45" s="54">
        <v>44900408334</v>
      </c>
    </row>
    <row r="46" spans="1:5" hidden="1" x14ac:dyDescent="0.2">
      <c r="A46" s="41" t="s">
        <v>151</v>
      </c>
      <c r="B46" s="26">
        <f t="shared" si="0"/>
        <v>4</v>
      </c>
      <c r="C46" s="24" t="s">
        <v>152</v>
      </c>
      <c r="D46" s="24" t="s">
        <v>151</v>
      </c>
      <c r="E46" s="54">
        <v>0</v>
      </c>
    </row>
    <row r="47" spans="1:5" hidden="1" x14ac:dyDescent="0.2">
      <c r="A47" s="41" t="s">
        <v>153</v>
      </c>
      <c r="B47" s="26">
        <f t="shared" si="0"/>
        <v>6</v>
      </c>
      <c r="C47" s="24" t="s">
        <v>712</v>
      </c>
      <c r="D47" s="24" t="s">
        <v>153</v>
      </c>
      <c r="E47" s="54">
        <v>0</v>
      </c>
    </row>
    <row r="48" spans="1:5" hidden="1" x14ac:dyDescent="0.2">
      <c r="A48" s="41" t="s">
        <v>155</v>
      </c>
      <c r="B48" s="26">
        <f t="shared" si="0"/>
        <v>4</v>
      </c>
      <c r="C48" s="24" t="s">
        <v>100</v>
      </c>
      <c r="D48" s="24" t="s">
        <v>155</v>
      </c>
      <c r="E48" s="49">
        <v>18070591653</v>
      </c>
    </row>
    <row r="49" spans="1:5" hidden="1" x14ac:dyDescent="0.2">
      <c r="A49" s="41" t="s">
        <v>156</v>
      </c>
      <c r="B49" s="26">
        <f t="shared" si="0"/>
        <v>6</v>
      </c>
      <c r="C49" s="57" t="s">
        <v>883</v>
      </c>
      <c r="D49" s="24" t="s">
        <v>156</v>
      </c>
      <c r="E49" s="54">
        <v>12306481</v>
      </c>
    </row>
    <row r="50" spans="1:5" hidden="1" x14ac:dyDescent="0.2">
      <c r="A50" s="41" t="s">
        <v>158</v>
      </c>
      <c r="B50" s="26">
        <f t="shared" si="0"/>
        <v>6</v>
      </c>
      <c r="C50" s="57" t="s">
        <v>697</v>
      </c>
      <c r="D50" s="24" t="s">
        <v>158</v>
      </c>
      <c r="E50" s="54">
        <v>18058285172</v>
      </c>
    </row>
    <row r="51" spans="1:5" hidden="1" x14ac:dyDescent="0.2">
      <c r="A51" s="41" t="s">
        <v>159</v>
      </c>
      <c r="B51" s="26">
        <f t="shared" si="0"/>
        <v>4</v>
      </c>
      <c r="C51" s="24" t="s">
        <v>106</v>
      </c>
      <c r="D51" s="24" t="s">
        <v>159</v>
      </c>
      <c r="E51" s="54">
        <v>303015524</v>
      </c>
    </row>
    <row r="52" spans="1:5" hidden="1" x14ac:dyDescent="0.2">
      <c r="A52" s="41" t="s">
        <v>160</v>
      </c>
      <c r="B52" s="26">
        <f t="shared" si="0"/>
        <v>6</v>
      </c>
      <c r="C52" s="57" t="s">
        <v>698</v>
      </c>
      <c r="D52" s="24" t="s">
        <v>160</v>
      </c>
      <c r="E52" s="54">
        <v>303015524</v>
      </c>
    </row>
    <row r="53" spans="1:5" hidden="1" x14ac:dyDescent="0.2">
      <c r="A53" s="41" t="s">
        <v>161</v>
      </c>
      <c r="B53" s="26">
        <f t="shared" si="0"/>
        <v>4</v>
      </c>
      <c r="C53" s="24" t="s">
        <v>110</v>
      </c>
      <c r="D53" s="24" t="s">
        <v>161</v>
      </c>
      <c r="E53" s="54">
        <v>4403460935</v>
      </c>
    </row>
    <row r="54" spans="1:5" hidden="1" x14ac:dyDescent="0.2">
      <c r="A54" s="41" t="s">
        <v>162</v>
      </c>
      <c r="B54" s="26">
        <f t="shared" si="0"/>
        <v>6</v>
      </c>
      <c r="C54" s="57" t="s">
        <v>699</v>
      </c>
      <c r="D54" s="24" t="s">
        <v>162</v>
      </c>
      <c r="E54" s="54">
        <v>8302080</v>
      </c>
    </row>
    <row r="55" spans="1:5" hidden="1" x14ac:dyDescent="0.2">
      <c r="A55" s="41" t="s">
        <v>163</v>
      </c>
      <c r="B55" s="26">
        <f t="shared" si="0"/>
        <v>6</v>
      </c>
      <c r="C55" s="57" t="s">
        <v>700</v>
      </c>
      <c r="D55" s="24" t="s">
        <v>163</v>
      </c>
      <c r="E55" s="49">
        <v>4395158855</v>
      </c>
    </row>
    <row r="56" spans="1:5" hidden="1" x14ac:dyDescent="0.2">
      <c r="A56" s="41" t="s">
        <v>164</v>
      </c>
      <c r="B56" s="26">
        <f t="shared" si="0"/>
        <v>4</v>
      </c>
      <c r="C56" s="24" t="s">
        <v>165</v>
      </c>
      <c r="D56" s="24" t="s">
        <v>164</v>
      </c>
      <c r="E56" s="54">
        <v>271340222</v>
      </c>
    </row>
    <row r="57" spans="1:5" hidden="1" x14ac:dyDescent="0.2">
      <c r="A57" s="41" t="s">
        <v>166</v>
      </c>
      <c r="B57" s="26">
        <f t="shared" si="0"/>
        <v>6</v>
      </c>
      <c r="C57" s="24" t="s">
        <v>713</v>
      </c>
      <c r="D57" s="24" t="s">
        <v>166</v>
      </c>
      <c r="E57" s="54">
        <v>271340222</v>
      </c>
    </row>
    <row r="58" spans="1:5" hidden="1" x14ac:dyDescent="0.2">
      <c r="A58" s="41" t="s">
        <v>168</v>
      </c>
      <c r="B58" s="26">
        <f t="shared" si="0"/>
        <v>4</v>
      </c>
      <c r="C58" s="24" t="s">
        <v>169</v>
      </c>
      <c r="D58" s="24" t="s">
        <v>168</v>
      </c>
      <c r="E58" s="54">
        <v>21852000000</v>
      </c>
    </row>
    <row r="59" spans="1:5" hidden="1" x14ac:dyDescent="0.2">
      <c r="A59" s="41" t="s">
        <v>170</v>
      </c>
      <c r="B59" s="26">
        <f t="shared" si="0"/>
        <v>6</v>
      </c>
      <c r="C59" s="57" t="s">
        <v>884</v>
      </c>
      <c r="D59" s="24" t="s">
        <v>170</v>
      </c>
      <c r="E59" s="54">
        <v>21852000000</v>
      </c>
    </row>
    <row r="60" spans="1:5" hidden="1" x14ac:dyDescent="0.2">
      <c r="A60" s="41" t="s">
        <v>885</v>
      </c>
      <c r="B60" s="26">
        <f t="shared" si="0"/>
        <v>6</v>
      </c>
      <c r="C60" s="56" t="s">
        <v>828</v>
      </c>
      <c r="D60" s="24" t="s">
        <v>885</v>
      </c>
      <c r="E60" s="54">
        <v>0</v>
      </c>
    </row>
    <row r="61" spans="1:5" hidden="1" x14ac:dyDescent="0.2">
      <c r="A61" s="41" t="s">
        <v>886</v>
      </c>
      <c r="B61" s="26">
        <f t="shared" si="0"/>
        <v>6</v>
      </c>
      <c r="C61" s="57" t="s">
        <v>829</v>
      </c>
      <c r="D61" s="24" t="s">
        <v>886</v>
      </c>
      <c r="E61" s="54">
        <v>0</v>
      </c>
    </row>
    <row r="62" spans="1:5" hidden="1" x14ac:dyDescent="0.2">
      <c r="A62" s="41" t="s">
        <v>172</v>
      </c>
      <c r="B62" s="26">
        <f t="shared" si="0"/>
        <v>4</v>
      </c>
      <c r="C62" s="24" t="s">
        <v>173</v>
      </c>
      <c r="D62" s="24" t="s">
        <v>172</v>
      </c>
      <c r="E62" s="54">
        <v>0</v>
      </c>
    </row>
    <row r="63" spans="1:5" x14ac:dyDescent="0.2">
      <c r="A63" s="41" t="s">
        <v>176</v>
      </c>
      <c r="B63" s="26">
        <f t="shared" si="0"/>
        <v>2</v>
      </c>
      <c r="C63" s="57" t="s">
        <v>851</v>
      </c>
      <c r="D63" s="24" t="s">
        <v>176</v>
      </c>
      <c r="E63" s="54">
        <v>-1680379586</v>
      </c>
    </row>
    <row r="64" spans="1:5" hidden="1" x14ac:dyDescent="0.2">
      <c r="A64" s="41" t="s">
        <v>178</v>
      </c>
      <c r="B64" s="26">
        <f t="shared" si="0"/>
        <v>4</v>
      </c>
      <c r="C64" s="24" t="s">
        <v>179</v>
      </c>
      <c r="D64" s="24" t="s">
        <v>178</v>
      </c>
      <c r="E64" s="54">
        <v>-1680379586</v>
      </c>
    </row>
    <row r="65" spans="1:5" hidden="1" x14ac:dyDescent="0.2">
      <c r="A65" s="41" t="s">
        <v>180</v>
      </c>
      <c r="B65" s="26">
        <f t="shared" si="0"/>
        <v>6</v>
      </c>
      <c r="C65" s="24" t="s">
        <v>887</v>
      </c>
      <c r="D65" s="24" t="s">
        <v>180</v>
      </c>
      <c r="E65" s="54">
        <v>-1680379586</v>
      </c>
    </row>
    <row r="66" spans="1:5" x14ac:dyDescent="0.2">
      <c r="A66" s="41" t="s">
        <v>182</v>
      </c>
      <c r="B66" s="26">
        <f t="shared" ref="B66:B129" si="1">LEN(A66)</f>
        <v>2</v>
      </c>
      <c r="C66" s="24" t="s">
        <v>183</v>
      </c>
      <c r="D66" s="24" t="s">
        <v>182</v>
      </c>
      <c r="E66" s="54">
        <v>-656930453652</v>
      </c>
    </row>
    <row r="67" spans="1:5" hidden="1" x14ac:dyDescent="0.2">
      <c r="A67" s="41" t="s">
        <v>184</v>
      </c>
      <c r="B67" s="26">
        <f t="shared" si="1"/>
        <v>4</v>
      </c>
      <c r="C67" s="24" t="s">
        <v>185</v>
      </c>
      <c r="D67" s="24" t="s">
        <v>184</v>
      </c>
      <c r="E67" s="54">
        <v>-1502319742</v>
      </c>
    </row>
    <row r="68" spans="1:5" hidden="1" x14ac:dyDescent="0.2">
      <c r="A68" s="41" t="s">
        <v>186</v>
      </c>
      <c r="B68" s="26">
        <f t="shared" si="1"/>
        <v>6</v>
      </c>
      <c r="C68" s="24" t="s">
        <v>714</v>
      </c>
      <c r="D68" s="24" t="s">
        <v>186</v>
      </c>
      <c r="E68" s="54">
        <v>-1502319742</v>
      </c>
    </row>
    <row r="69" spans="1:5" hidden="1" x14ac:dyDescent="0.2">
      <c r="A69" s="41" t="s">
        <v>188</v>
      </c>
      <c r="B69" s="26">
        <f t="shared" si="1"/>
        <v>4</v>
      </c>
      <c r="C69" s="24" t="s">
        <v>189</v>
      </c>
      <c r="D69" s="24" t="s">
        <v>188</v>
      </c>
      <c r="E69" s="54">
        <v>-247511870</v>
      </c>
    </row>
    <row r="70" spans="1:5" hidden="1" x14ac:dyDescent="0.2">
      <c r="A70" s="41" t="s">
        <v>190</v>
      </c>
      <c r="B70" s="26">
        <f t="shared" si="1"/>
        <v>6</v>
      </c>
      <c r="C70" s="57" t="s">
        <v>719</v>
      </c>
      <c r="D70" s="24" t="s">
        <v>190</v>
      </c>
      <c r="E70" s="54">
        <v>-81492139</v>
      </c>
    </row>
    <row r="71" spans="1:5" hidden="1" x14ac:dyDescent="0.2">
      <c r="A71" s="41" t="s">
        <v>192</v>
      </c>
      <c r="B71" s="26">
        <f t="shared" si="1"/>
        <v>6</v>
      </c>
      <c r="C71" s="57" t="s">
        <v>720</v>
      </c>
      <c r="D71" s="24" t="s">
        <v>192</v>
      </c>
      <c r="E71" s="54">
        <v>-72180007</v>
      </c>
    </row>
    <row r="72" spans="1:5" hidden="1" x14ac:dyDescent="0.2">
      <c r="A72" s="41" t="s">
        <v>194</v>
      </c>
      <c r="B72" s="26">
        <f t="shared" si="1"/>
        <v>6</v>
      </c>
      <c r="C72" s="57" t="s">
        <v>888</v>
      </c>
      <c r="D72" s="24" t="s">
        <v>194</v>
      </c>
      <c r="E72" s="54">
        <v>-41565609</v>
      </c>
    </row>
    <row r="73" spans="1:5" hidden="1" x14ac:dyDescent="0.2">
      <c r="A73" s="41" t="s">
        <v>196</v>
      </c>
      <c r="B73" s="26">
        <f t="shared" si="1"/>
        <v>6</v>
      </c>
      <c r="C73" s="57" t="s">
        <v>727</v>
      </c>
      <c r="D73" s="24" t="s">
        <v>196</v>
      </c>
      <c r="E73" s="54">
        <v>-32619666</v>
      </c>
    </row>
    <row r="74" spans="1:5" hidden="1" x14ac:dyDescent="0.2">
      <c r="A74" s="41" t="s">
        <v>198</v>
      </c>
      <c r="B74" s="26">
        <f t="shared" si="1"/>
        <v>6</v>
      </c>
      <c r="C74" s="57" t="s">
        <v>889</v>
      </c>
      <c r="D74" s="24" t="s">
        <v>198</v>
      </c>
      <c r="E74" s="54">
        <v>-1565457</v>
      </c>
    </row>
    <row r="75" spans="1:5" hidden="1" x14ac:dyDescent="0.2">
      <c r="A75" s="41" t="s">
        <v>200</v>
      </c>
      <c r="B75" s="26">
        <f t="shared" si="1"/>
        <v>6</v>
      </c>
      <c r="C75" s="57" t="s">
        <v>723</v>
      </c>
      <c r="D75" s="24" t="s">
        <v>200</v>
      </c>
      <c r="E75" s="54">
        <v>-3388992</v>
      </c>
    </row>
    <row r="76" spans="1:5" hidden="1" x14ac:dyDescent="0.2">
      <c r="A76" s="41" t="s">
        <v>202</v>
      </c>
      <c r="B76" s="26">
        <f t="shared" si="1"/>
        <v>6</v>
      </c>
      <c r="C76" s="57" t="s">
        <v>890</v>
      </c>
      <c r="D76" s="24" t="s">
        <v>202</v>
      </c>
      <c r="E76" s="54">
        <v>-14700000</v>
      </c>
    </row>
    <row r="77" spans="1:5" hidden="1" x14ac:dyDescent="0.2">
      <c r="A77" s="41" t="s">
        <v>228</v>
      </c>
      <c r="B77" s="26">
        <f t="shared" si="1"/>
        <v>4</v>
      </c>
      <c r="C77" s="24" t="s">
        <v>229</v>
      </c>
      <c r="D77" s="24" t="s">
        <v>228</v>
      </c>
      <c r="E77" s="54">
        <v>-1203088704</v>
      </c>
    </row>
    <row r="78" spans="1:5" hidden="1" x14ac:dyDescent="0.2">
      <c r="A78" s="41" t="s">
        <v>230</v>
      </c>
      <c r="B78" s="26">
        <f t="shared" si="1"/>
        <v>6</v>
      </c>
      <c r="C78" s="24" t="s">
        <v>730</v>
      </c>
      <c r="D78" s="24" t="s">
        <v>230</v>
      </c>
      <c r="E78" s="54">
        <v>-995821476</v>
      </c>
    </row>
    <row r="79" spans="1:5" hidden="1" x14ac:dyDescent="0.2">
      <c r="A79" s="41" t="s">
        <v>231</v>
      </c>
      <c r="B79" s="26">
        <f t="shared" si="1"/>
        <v>6</v>
      </c>
      <c r="C79" s="24" t="s">
        <v>729</v>
      </c>
      <c r="D79" s="24" t="s">
        <v>231</v>
      </c>
      <c r="E79" s="54">
        <v>0</v>
      </c>
    </row>
    <row r="80" spans="1:5" hidden="1" x14ac:dyDescent="0.2">
      <c r="A80" s="41" t="s">
        <v>233</v>
      </c>
      <c r="B80" s="26">
        <f t="shared" si="1"/>
        <v>6</v>
      </c>
      <c r="C80" s="24" t="s">
        <v>14</v>
      </c>
      <c r="D80" s="24" t="s">
        <v>233</v>
      </c>
      <c r="E80" s="54">
        <v>-144359148</v>
      </c>
    </row>
    <row r="81" spans="1:5" hidden="1" x14ac:dyDescent="0.2">
      <c r="A81" s="41" t="s">
        <v>234</v>
      </c>
      <c r="B81" s="26">
        <f t="shared" si="1"/>
        <v>6</v>
      </c>
      <c r="C81" s="24" t="s">
        <v>716</v>
      </c>
      <c r="D81" s="24" t="s">
        <v>234</v>
      </c>
      <c r="E81" s="54">
        <v>-7314459</v>
      </c>
    </row>
    <row r="82" spans="1:5" hidden="1" x14ac:dyDescent="0.2">
      <c r="A82" s="41" t="s">
        <v>235</v>
      </c>
      <c r="B82" s="26">
        <f t="shared" si="1"/>
        <v>6</v>
      </c>
      <c r="C82" s="24" t="s">
        <v>732</v>
      </c>
      <c r="D82" s="24" t="s">
        <v>235</v>
      </c>
      <c r="E82" s="54">
        <v>-8101371</v>
      </c>
    </row>
    <row r="83" spans="1:5" hidden="1" x14ac:dyDescent="0.2">
      <c r="A83" s="41" t="s">
        <v>237</v>
      </c>
      <c r="B83" s="26">
        <f t="shared" si="1"/>
        <v>6</v>
      </c>
      <c r="C83" s="24" t="s">
        <v>733</v>
      </c>
      <c r="D83" s="24" t="s">
        <v>237</v>
      </c>
      <c r="E83" s="54">
        <v>-25588600</v>
      </c>
    </row>
    <row r="84" spans="1:5" hidden="1" x14ac:dyDescent="0.2">
      <c r="A84" s="41" t="s">
        <v>891</v>
      </c>
      <c r="B84" s="26">
        <f t="shared" si="1"/>
        <v>6</v>
      </c>
      <c r="C84" s="24" t="s">
        <v>892</v>
      </c>
      <c r="D84" s="24" t="s">
        <v>891</v>
      </c>
      <c r="E84" s="54">
        <v>0</v>
      </c>
    </row>
    <row r="85" spans="1:5" hidden="1" x14ac:dyDescent="0.2">
      <c r="A85" s="41" t="s">
        <v>239</v>
      </c>
      <c r="B85" s="26">
        <f t="shared" si="1"/>
        <v>6</v>
      </c>
      <c r="C85" s="24" t="s">
        <v>734</v>
      </c>
      <c r="D85" s="24" t="s">
        <v>239</v>
      </c>
      <c r="E85" s="54">
        <v>-19907415</v>
      </c>
    </row>
    <row r="86" spans="1:5" hidden="1" x14ac:dyDescent="0.2">
      <c r="A86" s="41" t="s">
        <v>241</v>
      </c>
      <c r="B86" s="26">
        <f t="shared" si="1"/>
        <v>6</v>
      </c>
      <c r="C86" s="24" t="s">
        <v>735</v>
      </c>
      <c r="D86" s="24" t="s">
        <v>241</v>
      </c>
      <c r="E86" s="54">
        <v>-1996235</v>
      </c>
    </row>
    <row r="87" spans="1:5" hidden="1" x14ac:dyDescent="0.2">
      <c r="A87" s="41" t="s">
        <v>670</v>
      </c>
      <c r="B87" s="26">
        <f t="shared" si="1"/>
        <v>4</v>
      </c>
      <c r="C87" s="24" t="s">
        <v>671</v>
      </c>
      <c r="D87" s="24" t="s">
        <v>670</v>
      </c>
      <c r="E87" s="54">
        <v>0</v>
      </c>
    </row>
    <row r="88" spans="1:5" hidden="1" x14ac:dyDescent="0.2">
      <c r="A88" s="41" t="s">
        <v>736</v>
      </c>
      <c r="B88" s="26">
        <f t="shared" si="1"/>
        <v>6</v>
      </c>
      <c r="C88" s="24" t="s">
        <v>737</v>
      </c>
      <c r="D88" s="24" t="s">
        <v>736</v>
      </c>
      <c r="E88" s="54">
        <v>0</v>
      </c>
    </row>
    <row r="89" spans="1:5" hidden="1" x14ac:dyDescent="0.2">
      <c r="A89" s="41" t="s">
        <v>247</v>
      </c>
      <c r="B89" s="26">
        <f t="shared" si="1"/>
        <v>4</v>
      </c>
      <c r="C89" s="24" t="s">
        <v>248</v>
      </c>
      <c r="D89" s="24" t="s">
        <v>247</v>
      </c>
      <c r="E89" s="54">
        <v>-2840377401</v>
      </c>
    </row>
    <row r="90" spans="1:5" hidden="1" x14ac:dyDescent="0.2">
      <c r="A90" s="41" t="s">
        <v>249</v>
      </c>
      <c r="B90" s="26">
        <f t="shared" si="1"/>
        <v>6</v>
      </c>
      <c r="C90" s="24" t="s">
        <v>741</v>
      </c>
      <c r="D90" s="24" t="s">
        <v>249</v>
      </c>
      <c r="E90" s="54">
        <v>-1205282951</v>
      </c>
    </row>
    <row r="91" spans="1:5" hidden="1" x14ac:dyDescent="0.2">
      <c r="A91" s="41" t="s">
        <v>742</v>
      </c>
      <c r="B91" s="26">
        <f t="shared" si="1"/>
        <v>6</v>
      </c>
      <c r="C91" s="24" t="s">
        <v>852</v>
      </c>
      <c r="D91" s="24" t="s">
        <v>742</v>
      </c>
      <c r="E91" s="54">
        <v>0</v>
      </c>
    </row>
    <row r="92" spans="1:5" hidden="1" x14ac:dyDescent="0.2">
      <c r="A92" s="41" t="s">
        <v>251</v>
      </c>
      <c r="B92" s="26">
        <f t="shared" si="1"/>
        <v>6</v>
      </c>
      <c r="C92" s="24" t="s">
        <v>744</v>
      </c>
      <c r="D92" s="24" t="s">
        <v>251</v>
      </c>
      <c r="E92" s="54">
        <v>-10783470</v>
      </c>
    </row>
    <row r="93" spans="1:5" hidden="1" x14ac:dyDescent="0.2">
      <c r="A93" s="41" t="s">
        <v>253</v>
      </c>
      <c r="B93" s="26">
        <f t="shared" si="1"/>
        <v>6</v>
      </c>
      <c r="C93" s="24" t="s">
        <v>893</v>
      </c>
      <c r="D93" s="24" t="s">
        <v>253</v>
      </c>
      <c r="E93" s="54">
        <v>-1624310980</v>
      </c>
    </row>
    <row r="94" spans="1:5" hidden="1" x14ac:dyDescent="0.2">
      <c r="A94" s="41" t="s">
        <v>255</v>
      </c>
      <c r="B94" s="26">
        <f t="shared" si="1"/>
        <v>4</v>
      </c>
      <c r="C94" s="24" t="s">
        <v>256</v>
      </c>
      <c r="D94" s="24" t="s">
        <v>255</v>
      </c>
      <c r="E94" s="54">
        <v>-646093054781</v>
      </c>
    </row>
    <row r="95" spans="1:5" hidden="1" x14ac:dyDescent="0.2">
      <c r="A95" s="41" t="s">
        <v>257</v>
      </c>
      <c r="B95" s="26">
        <f t="shared" si="1"/>
        <v>6</v>
      </c>
      <c r="C95" s="24" t="s">
        <v>750</v>
      </c>
      <c r="D95" s="24" t="s">
        <v>257</v>
      </c>
      <c r="E95" s="54">
        <v>-3651530408</v>
      </c>
    </row>
    <row r="96" spans="1:5" hidden="1" x14ac:dyDescent="0.2">
      <c r="A96" s="41" t="s">
        <v>259</v>
      </c>
      <c r="B96" s="26">
        <f t="shared" si="1"/>
        <v>6</v>
      </c>
      <c r="C96" s="57" t="s">
        <v>894</v>
      </c>
      <c r="D96" s="24" t="s">
        <v>259</v>
      </c>
      <c r="E96" s="54">
        <v>-11840248323</v>
      </c>
    </row>
    <row r="97" spans="1:5" hidden="1" x14ac:dyDescent="0.2">
      <c r="A97" s="41" t="s">
        <v>261</v>
      </c>
      <c r="B97" s="26">
        <f t="shared" si="1"/>
        <v>6</v>
      </c>
      <c r="C97" s="57" t="s">
        <v>751</v>
      </c>
      <c r="D97" s="24" t="s">
        <v>261</v>
      </c>
      <c r="E97" s="54">
        <v>-402932558</v>
      </c>
    </row>
    <row r="98" spans="1:5" hidden="1" x14ac:dyDescent="0.2">
      <c r="A98" s="41" t="s">
        <v>263</v>
      </c>
      <c r="B98" s="26">
        <f t="shared" si="1"/>
        <v>6</v>
      </c>
      <c r="C98" s="57" t="s">
        <v>752</v>
      </c>
      <c r="D98" s="24" t="s">
        <v>263</v>
      </c>
      <c r="E98" s="49">
        <v>-43637792926</v>
      </c>
    </row>
    <row r="99" spans="1:5" hidden="1" x14ac:dyDescent="0.2">
      <c r="A99" s="41" t="s">
        <v>265</v>
      </c>
      <c r="B99" s="26">
        <f t="shared" si="1"/>
        <v>6</v>
      </c>
      <c r="C99" s="57" t="s">
        <v>895</v>
      </c>
      <c r="D99" s="24" t="s">
        <v>265</v>
      </c>
      <c r="E99" s="54">
        <v>-503920115761</v>
      </c>
    </row>
    <row r="100" spans="1:5" hidden="1" x14ac:dyDescent="0.2">
      <c r="A100" s="41" t="s">
        <v>267</v>
      </c>
      <c r="B100" s="26">
        <f t="shared" si="1"/>
        <v>6</v>
      </c>
      <c r="C100" s="57" t="s">
        <v>754</v>
      </c>
      <c r="D100" s="24" t="s">
        <v>267</v>
      </c>
      <c r="E100" s="54">
        <v>-81542846648</v>
      </c>
    </row>
    <row r="101" spans="1:5" hidden="1" x14ac:dyDescent="0.2">
      <c r="A101" s="41" t="s">
        <v>269</v>
      </c>
      <c r="B101" s="26">
        <f t="shared" si="1"/>
        <v>6</v>
      </c>
      <c r="C101" s="57" t="s">
        <v>755</v>
      </c>
      <c r="D101" s="24" t="s">
        <v>269</v>
      </c>
      <c r="E101" s="54">
        <v>-1097588157</v>
      </c>
    </row>
    <row r="102" spans="1:5" hidden="1" x14ac:dyDescent="0.2">
      <c r="A102" s="41" t="s">
        <v>271</v>
      </c>
      <c r="B102" s="26">
        <f t="shared" si="1"/>
        <v>4</v>
      </c>
      <c r="C102" s="24" t="s">
        <v>272</v>
      </c>
      <c r="D102" s="24" t="s">
        <v>271</v>
      </c>
      <c r="E102" s="54">
        <v>-5044101154</v>
      </c>
    </row>
    <row r="103" spans="1:5" hidden="1" x14ac:dyDescent="0.2">
      <c r="A103" s="41" t="s">
        <v>273</v>
      </c>
      <c r="B103" s="26">
        <f t="shared" si="1"/>
        <v>6</v>
      </c>
      <c r="C103" s="57" t="s">
        <v>896</v>
      </c>
      <c r="D103" s="24" t="s">
        <v>273</v>
      </c>
      <c r="E103" s="54">
        <v>-250243936</v>
      </c>
    </row>
    <row r="104" spans="1:5" hidden="1" x14ac:dyDescent="0.2">
      <c r="A104" s="41" t="s">
        <v>275</v>
      </c>
      <c r="B104" s="26">
        <f t="shared" si="1"/>
        <v>6</v>
      </c>
      <c r="C104" s="57" t="s">
        <v>717</v>
      </c>
      <c r="D104" s="24" t="s">
        <v>275</v>
      </c>
      <c r="E104" s="54">
        <v>-2077035</v>
      </c>
    </row>
    <row r="105" spans="1:5" hidden="1" x14ac:dyDescent="0.2">
      <c r="A105" s="41" t="s">
        <v>897</v>
      </c>
      <c r="B105" s="26">
        <f t="shared" si="1"/>
        <v>6</v>
      </c>
      <c r="C105" s="57" t="s">
        <v>898</v>
      </c>
      <c r="D105" s="24" t="s">
        <v>897</v>
      </c>
      <c r="E105" s="54">
        <v>0</v>
      </c>
    </row>
    <row r="106" spans="1:5" hidden="1" x14ac:dyDescent="0.2">
      <c r="A106" s="41" t="s">
        <v>276</v>
      </c>
      <c r="B106" s="26">
        <f t="shared" si="1"/>
        <v>6</v>
      </c>
      <c r="C106" s="57" t="s">
        <v>899</v>
      </c>
      <c r="D106" s="24" t="s">
        <v>276</v>
      </c>
      <c r="E106" s="54">
        <v>-183899</v>
      </c>
    </row>
    <row r="107" spans="1:5" hidden="1" x14ac:dyDescent="0.2">
      <c r="A107" s="41" t="s">
        <v>278</v>
      </c>
      <c r="B107" s="26">
        <f t="shared" si="1"/>
        <v>6</v>
      </c>
      <c r="C107" s="57" t="s">
        <v>900</v>
      </c>
      <c r="D107" s="24" t="s">
        <v>278</v>
      </c>
      <c r="E107" s="54">
        <v>-91147600</v>
      </c>
    </row>
    <row r="108" spans="1:5" hidden="1" x14ac:dyDescent="0.2">
      <c r="A108" s="41" t="s">
        <v>280</v>
      </c>
      <c r="B108" s="26">
        <f t="shared" si="1"/>
        <v>6</v>
      </c>
      <c r="C108" s="57" t="s">
        <v>715</v>
      </c>
      <c r="D108" s="24" t="s">
        <v>280</v>
      </c>
      <c r="E108" s="54">
        <v>-21516580</v>
      </c>
    </row>
    <row r="109" spans="1:5" hidden="1" x14ac:dyDescent="0.2">
      <c r="A109" s="41" t="s">
        <v>901</v>
      </c>
      <c r="B109" s="26">
        <f t="shared" si="1"/>
        <v>6</v>
      </c>
      <c r="C109" s="57" t="s">
        <v>729</v>
      </c>
      <c r="D109" s="24" t="s">
        <v>901</v>
      </c>
      <c r="E109" s="54">
        <v>0</v>
      </c>
    </row>
    <row r="110" spans="1:5" hidden="1" x14ac:dyDescent="0.2">
      <c r="A110" s="41" t="s">
        <v>281</v>
      </c>
      <c r="B110" s="26">
        <f t="shared" si="1"/>
        <v>6</v>
      </c>
      <c r="C110" s="57" t="s">
        <v>730</v>
      </c>
      <c r="D110" s="24" t="s">
        <v>281</v>
      </c>
      <c r="E110" s="54">
        <v>-4001602932</v>
      </c>
    </row>
    <row r="111" spans="1:5" hidden="1" x14ac:dyDescent="0.2">
      <c r="A111" s="41" t="s">
        <v>282</v>
      </c>
      <c r="B111" s="26">
        <f t="shared" si="1"/>
        <v>6</v>
      </c>
      <c r="C111" s="57" t="s">
        <v>14</v>
      </c>
      <c r="D111" s="24" t="s">
        <v>282</v>
      </c>
      <c r="E111" s="49">
        <v>-505054719</v>
      </c>
    </row>
    <row r="112" spans="1:5" hidden="1" x14ac:dyDescent="0.2">
      <c r="A112" s="41" t="s">
        <v>283</v>
      </c>
      <c r="B112" s="26">
        <f t="shared" si="1"/>
        <v>6</v>
      </c>
      <c r="C112" s="57" t="s">
        <v>902</v>
      </c>
      <c r="D112" s="24" t="s">
        <v>283</v>
      </c>
      <c r="E112" s="54">
        <v>-172274453</v>
      </c>
    </row>
    <row r="113" spans="1:5" x14ac:dyDescent="0.2">
      <c r="A113" s="41" t="s">
        <v>285</v>
      </c>
      <c r="B113" s="26">
        <f t="shared" si="1"/>
        <v>2</v>
      </c>
      <c r="C113" s="24" t="s">
        <v>286</v>
      </c>
      <c r="D113" s="24" t="s">
        <v>285</v>
      </c>
      <c r="E113" s="54">
        <v>-2587582598</v>
      </c>
    </row>
    <row r="114" spans="1:5" hidden="1" x14ac:dyDescent="0.2">
      <c r="A114" s="41" t="s">
        <v>299</v>
      </c>
      <c r="B114" s="26">
        <f t="shared" si="1"/>
        <v>4</v>
      </c>
      <c r="C114" s="24" t="s">
        <v>300</v>
      </c>
      <c r="D114" s="24" t="s">
        <v>299</v>
      </c>
      <c r="E114" s="54">
        <v>-2587582598</v>
      </c>
    </row>
    <row r="115" spans="1:5" hidden="1" x14ac:dyDescent="0.2">
      <c r="A115" s="41" t="s">
        <v>301</v>
      </c>
      <c r="B115" s="26">
        <f t="shared" si="1"/>
        <v>6</v>
      </c>
      <c r="C115" s="24" t="s">
        <v>745</v>
      </c>
      <c r="D115" s="24" t="s">
        <v>301</v>
      </c>
      <c r="E115" s="54">
        <v>-5826221</v>
      </c>
    </row>
    <row r="116" spans="1:5" hidden="1" x14ac:dyDescent="0.2">
      <c r="A116" s="41" t="s">
        <v>302</v>
      </c>
      <c r="B116" s="26">
        <f t="shared" si="1"/>
        <v>6</v>
      </c>
      <c r="C116" s="57" t="s">
        <v>746</v>
      </c>
      <c r="D116" s="24" t="s">
        <v>302</v>
      </c>
      <c r="E116" s="54">
        <v>-670216443</v>
      </c>
    </row>
    <row r="117" spans="1:5" hidden="1" x14ac:dyDescent="0.2">
      <c r="A117" s="41" t="s">
        <v>303</v>
      </c>
      <c r="B117" s="26">
        <f t="shared" si="1"/>
        <v>6</v>
      </c>
      <c r="C117" s="24" t="s">
        <v>747</v>
      </c>
      <c r="D117" s="24" t="s">
        <v>303</v>
      </c>
      <c r="E117" s="54">
        <v>-80905277</v>
      </c>
    </row>
    <row r="118" spans="1:5" hidden="1" x14ac:dyDescent="0.2">
      <c r="A118" s="41" t="s">
        <v>304</v>
      </c>
      <c r="B118" s="26">
        <f t="shared" si="1"/>
        <v>6</v>
      </c>
      <c r="C118" s="24" t="s">
        <v>748</v>
      </c>
      <c r="D118" s="24" t="s">
        <v>304</v>
      </c>
      <c r="E118" s="54">
        <v>-620001558</v>
      </c>
    </row>
    <row r="119" spans="1:5" hidden="1" x14ac:dyDescent="0.2">
      <c r="A119" s="41" t="s">
        <v>305</v>
      </c>
      <c r="B119" s="26">
        <f t="shared" si="1"/>
        <v>6</v>
      </c>
      <c r="C119" s="57" t="s">
        <v>762</v>
      </c>
      <c r="D119" s="24" t="s">
        <v>305</v>
      </c>
      <c r="E119" s="54">
        <v>-664548392</v>
      </c>
    </row>
    <row r="120" spans="1:5" hidden="1" x14ac:dyDescent="0.2">
      <c r="A120" s="41" t="s">
        <v>307</v>
      </c>
      <c r="B120" s="26">
        <f t="shared" si="1"/>
        <v>6</v>
      </c>
      <c r="C120" s="57" t="s">
        <v>903</v>
      </c>
      <c r="D120" s="24" t="s">
        <v>307</v>
      </c>
      <c r="E120" s="54">
        <v>-24389200</v>
      </c>
    </row>
    <row r="121" spans="1:5" hidden="1" x14ac:dyDescent="0.2">
      <c r="A121" s="41" t="s">
        <v>309</v>
      </c>
      <c r="B121" s="26">
        <f t="shared" si="1"/>
        <v>6</v>
      </c>
      <c r="C121" s="57" t="s">
        <v>791</v>
      </c>
      <c r="D121" s="24" t="s">
        <v>309</v>
      </c>
      <c r="E121" s="54">
        <v>-3539534</v>
      </c>
    </row>
    <row r="122" spans="1:5" hidden="1" x14ac:dyDescent="0.2">
      <c r="A122" s="41" t="s">
        <v>311</v>
      </c>
      <c r="B122" s="26">
        <f t="shared" si="1"/>
        <v>6</v>
      </c>
      <c r="C122" s="57" t="s">
        <v>904</v>
      </c>
      <c r="D122" s="24" t="s">
        <v>311</v>
      </c>
      <c r="E122" s="54">
        <v>-217444196</v>
      </c>
    </row>
    <row r="123" spans="1:5" hidden="1" x14ac:dyDescent="0.2">
      <c r="A123" s="41" t="s">
        <v>313</v>
      </c>
      <c r="B123" s="26">
        <f t="shared" si="1"/>
        <v>6</v>
      </c>
      <c r="C123" s="57" t="s">
        <v>905</v>
      </c>
      <c r="D123" s="24" t="s">
        <v>313</v>
      </c>
      <c r="E123" s="54">
        <v>-156757917</v>
      </c>
    </row>
    <row r="124" spans="1:5" hidden="1" x14ac:dyDescent="0.2">
      <c r="A124" s="41" t="s">
        <v>315</v>
      </c>
      <c r="B124" s="26">
        <f t="shared" si="1"/>
        <v>6</v>
      </c>
      <c r="C124" s="57" t="s">
        <v>797</v>
      </c>
      <c r="D124" s="24" t="s">
        <v>315</v>
      </c>
      <c r="E124" s="54">
        <v>-72882600</v>
      </c>
    </row>
    <row r="125" spans="1:5" x14ac:dyDescent="0.2">
      <c r="A125" s="41" t="s">
        <v>325</v>
      </c>
      <c r="B125" s="26">
        <f t="shared" si="1"/>
        <v>2</v>
      </c>
      <c r="C125" s="24" t="s">
        <v>326</v>
      </c>
      <c r="D125" s="24" t="s">
        <v>325</v>
      </c>
      <c r="E125" s="54">
        <v>-314510180820.19678</v>
      </c>
    </row>
    <row r="126" spans="1:5" hidden="1" x14ac:dyDescent="0.2">
      <c r="A126" s="41" t="s">
        <v>327</v>
      </c>
      <c r="B126" s="26">
        <f t="shared" si="1"/>
        <v>4</v>
      </c>
      <c r="C126" s="24" t="s">
        <v>328</v>
      </c>
      <c r="D126" s="24" t="s">
        <v>327</v>
      </c>
      <c r="E126" s="54">
        <v>-457943064</v>
      </c>
    </row>
    <row r="127" spans="1:5" hidden="1" x14ac:dyDescent="0.2">
      <c r="A127" s="41" t="s">
        <v>329</v>
      </c>
      <c r="B127" s="26">
        <f t="shared" si="1"/>
        <v>6</v>
      </c>
      <c r="C127" s="56" t="s">
        <v>906</v>
      </c>
      <c r="D127" s="24" t="s">
        <v>329</v>
      </c>
      <c r="E127" s="54">
        <v>-457943064</v>
      </c>
    </row>
    <row r="128" spans="1:5" hidden="1" x14ac:dyDescent="0.2">
      <c r="A128" s="41" t="s">
        <v>337</v>
      </c>
      <c r="B128" s="26">
        <f t="shared" si="1"/>
        <v>4</v>
      </c>
      <c r="C128" s="24" t="s">
        <v>338</v>
      </c>
      <c r="D128" s="24" t="s">
        <v>337</v>
      </c>
      <c r="E128" s="54">
        <v>-314052237756.19678</v>
      </c>
    </row>
    <row r="129" spans="1:5" hidden="1" x14ac:dyDescent="0.2">
      <c r="A129" s="41" t="s">
        <v>340</v>
      </c>
      <c r="B129" s="26">
        <f t="shared" si="1"/>
        <v>6</v>
      </c>
      <c r="C129" s="24" t="s">
        <v>853</v>
      </c>
      <c r="D129" s="24" t="s">
        <v>340</v>
      </c>
      <c r="E129" s="54">
        <v>-144945164094</v>
      </c>
    </row>
    <row r="130" spans="1:5" hidden="1" x14ac:dyDescent="0.2">
      <c r="A130" s="41" t="s">
        <v>342</v>
      </c>
      <c r="B130" s="26">
        <f t="shared" ref="B130:B193" si="2">LEN(A130)</f>
        <v>6</v>
      </c>
      <c r="C130" s="24" t="s">
        <v>854</v>
      </c>
      <c r="D130" s="24" t="s">
        <v>342</v>
      </c>
      <c r="E130" s="54">
        <v>-50157810735</v>
      </c>
    </row>
    <row r="131" spans="1:5" hidden="1" x14ac:dyDescent="0.2">
      <c r="A131" s="41" t="s">
        <v>344</v>
      </c>
      <c r="B131" s="26">
        <f t="shared" si="2"/>
        <v>6</v>
      </c>
      <c r="C131" s="24" t="s">
        <v>855</v>
      </c>
      <c r="D131" s="24" t="s">
        <v>344</v>
      </c>
      <c r="E131" s="54">
        <v>-2095502175.1967988</v>
      </c>
    </row>
    <row r="132" spans="1:5" hidden="1" x14ac:dyDescent="0.2">
      <c r="A132" s="41" t="s">
        <v>346</v>
      </c>
      <c r="B132" s="26">
        <f t="shared" si="2"/>
        <v>6</v>
      </c>
      <c r="C132" s="24" t="s">
        <v>347</v>
      </c>
      <c r="D132" s="24" t="s">
        <v>346</v>
      </c>
      <c r="E132" s="49">
        <v>-116853760752</v>
      </c>
    </row>
    <row r="133" spans="1:5" x14ac:dyDescent="0.2">
      <c r="A133" s="41" t="s">
        <v>348</v>
      </c>
      <c r="B133" s="26">
        <f t="shared" si="2"/>
        <v>2</v>
      </c>
      <c r="C133" s="24" t="s">
        <v>349</v>
      </c>
      <c r="D133" s="24" t="s">
        <v>348</v>
      </c>
      <c r="E133" s="54">
        <v>-111834861</v>
      </c>
    </row>
    <row r="134" spans="1:5" hidden="1" x14ac:dyDescent="0.2">
      <c r="A134" s="41" t="s">
        <v>350</v>
      </c>
      <c r="B134" s="26">
        <f t="shared" si="2"/>
        <v>4</v>
      </c>
      <c r="C134" s="24" t="s">
        <v>244</v>
      </c>
      <c r="D134" s="24" t="s">
        <v>350</v>
      </c>
      <c r="E134" s="54">
        <v>-111834861</v>
      </c>
    </row>
    <row r="135" spans="1:5" hidden="1" x14ac:dyDescent="0.2">
      <c r="A135" s="41" t="s">
        <v>351</v>
      </c>
      <c r="B135" s="26">
        <f t="shared" si="2"/>
        <v>6</v>
      </c>
      <c r="C135" s="24" t="s">
        <v>740</v>
      </c>
      <c r="D135" s="24" t="s">
        <v>351</v>
      </c>
      <c r="E135" s="54">
        <v>-111834861</v>
      </c>
    </row>
    <row r="136" spans="1:5" hidden="1" x14ac:dyDescent="0.2">
      <c r="A136" s="41" t="s">
        <v>674</v>
      </c>
      <c r="B136" s="26">
        <f t="shared" si="2"/>
        <v>4</v>
      </c>
      <c r="C136" s="24" t="s">
        <v>675</v>
      </c>
      <c r="D136" s="24" t="s">
        <v>674</v>
      </c>
      <c r="E136" s="54">
        <v>0</v>
      </c>
    </row>
    <row r="137" spans="1:5" hidden="1" x14ac:dyDescent="0.2">
      <c r="A137" s="41" t="s">
        <v>767</v>
      </c>
      <c r="B137" s="26">
        <f t="shared" si="2"/>
        <v>6</v>
      </c>
      <c r="C137" s="24" t="s">
        <v>768</v>
      </c>
      <c r="D137" s="24" t="s">
        <v>767</v>
      </c>
      <c r="E137" s="54">
        <v>0</v>
      </c>
    </row>
    <row r="138" spans="1:5" x14ac:dyDescent="0.2">
      <c r="A138" s="41" t="s">
        <v>354</v>
      </c>
      <c r="B138" s="26">
        <f t="shared" si="2"/>
        <v>2</v>
      </c>
      <c r="C138" s="24" t="s">
        <v>355</v>
      </c>
      <c r="D138" s="24" t="s">
        <v>354</v>
      </c>
      <c r="E138" s="54">
        <v>672239351599</v>
      </c>
    </row>
    <row r="139" spans="1:5" hidden="1" x14ac:dyDescent="0.2">
      <c r="A139" s="41" t="s">
        <v>356</v>
      </c>
      <c r="B139" s="26">
        <f t="shared" si="2"/>
        <v>4</v>
      </c>
      <c r="C139" s="24" t="s">
        <v>357</v>
      </c>
      <c r="D139" s="24" t="s">
        <v>356</v>
      </c>
      <c r="E139" s="54">
        <v>-81852000000</v>
      </c>
    </row>
    <row r="140" spans="1:5" hidden="1" x14ac:dyDescent="0.2">
      <c r="A140" s="41" t="s">
        <v>358</v>
      </c>
      <c r="B140" s="26">
        <f t="shared" si="2"/>
        <v>6</v>
      </c>
      <c r="C140" s="24" t="s">
        <v>769</v>
      </c>
      <c r="D140" s="24" t="s">
        <v>358</v>
      </c>
      <c r="E140" s="54">
        <v>-581852000000</v>
      </c>
    </row>
    <row r="141" spans="1:5" hidden="1" x14ac:dyDescent="0.2">
      <c r="A141" s="41" t="s">
        <v>360</v>
      </c>
      <c r="B141" s="26">
        <f t="shared" si="2"/>
        <v>6</v>
      </c>
      <c r="C141" s="24" t="s">
        <v>907</v>
      </c>
      <c r="D141" s="24" t="s">
        <v>360</v>
      </c>
      <c r="E141" s="54">
        <v>500000000000</v>
      </c>
    </row>
    <row r="142" spans="1:5" hidden="1" x14ac:dyDescent="0.2">
      <c r="A142" s="41" t="s">
        <v>770</v>
      </c>
      <c r="B142" s="26">
        <f t="shared" si="2"/>
        <v>6</v>
      </c>
      <c r="C142" s="24" t="s">
        <v>771</v>
      </c>
      <c r="D142" s="24" t="s">
        <v>770</v>
      </c>
      <c r="E142" s="54">
        <v>0</v>
      </c>
    </row>
    <row r="143" spans="1:5" hidden="1" x14ac:dyDescent="0.2">
      <c r="A143" s="41" t="s">
        <v>362</v>
      </c>
      <c r="B143" s="26">
        <f t="shared" si="2"/>
        <v>4</v>
      </c>
      <c r="C143" s="24" t="s">
        <v>363</v>
      </c>
      <c r="D143" s="24" t="s">
        <v>362</v>
      </c>
      <c r="E143" s="54">
        <v>765723258680</v>
      </c>
    </row>
    <row r="144" spans="1:5" hidden="1" x14ac:dyDescent="0.2">
      <c r="A144" s="41" t="s">
        <v>366</v>
      </c>
      <c r="B144" s="26">
        <f t="shared" si="2"/>
        <v>6</v>
      </c>
      <c r="C144" s="24" t="s">
        <v>772</v>
      </c>
      <c r="D144" s="24" t="s">
        <v>366</v>
      </c>
      <c r="E144" s="54">
        <v>765723258680</v>
      </c>
    </row>
    <row r="145" spans="1:5" hidden="1" x14ac:dyDescent="0.2">
      <c r="A145" s="41" t="s">
        <v>367</v>
      </c>
      <c r="B145" s="26">
        <f t="shared" si="2"/>
        <v>4</v>
      </c>
      <c r="C145" s="24" t="s">
        <v>368</v>
      </c>
      <c r="D145" s="24" t="s">
        <v>367</v>
      </c>
      <c r="E145" s="54">
        <v>-11631907081</v>
      </c>
    </row>
    <row r="146" spans="1:5" hidden="1" x14ac:dyDescent="0.2">
      <c r="A146" s="41" t="s">
        <v>369</v>
      </c>
      <c r="B146" s="26">
        <f t="shared" si="2"/>
        <v>6</v>
      </c>
      <c r="C146" s="24" t="s">
        <v>908</v>
      </c>
      <c r="D146" s="24" t="s">
        <v>369</v>
      </c>
      <c r="E146" s="54">
        <v>-10927422577</v>
      </c>
    </row>
    <row r="147" spans="1:5" hidden="1" x14ac:dyDescent="0.2">
      <c r="A147" s="41" t="s">
        <v>370</v>
      </c>
      <c r="B147" s="26">
        <f t="shared" si="2"/>
        <v>6</v>
      </c>
      <c r="C147" s="24" t="s">
        <v>909</v>
      </c>
      <c r="D147" s="24" t="s">
        <v>370</v>
      </c>
      <c r="E147" s="54">
        <v>163742545</v>
      </c>
    </row>
    <row r="148" spans="1:5" s="58" customFormat="1" hidden="1" x14ac:dyDescent="0.2">
      <c r="A148" s="41" t="s">
        <v>372</v>
      </c>
      <c r="B148" s="26">
        <f t="shared" si="2"/>
        <v>6</v>
      </c>
      <c r="C148" s="24" t="s">
        <v>910</v>
      </c>
      <c r="D148" s="24" t="s">
        <v>372</v>
      </c>
      <c r="E148" s="54">
        <v>-868227049</v>
      </c>
    </row>
    <row r="149" spans="1:5" s="58" customFormat="1" x14ac:dyDescent="0.2">
      <c r="A149" s="41" t="s">
        <v>375</v>
      </c>
      <c r="B149" s="26">
        <f t="shared" si="2"/>
        <v>2</v>
      </c>
      <c r="C149" s="24" t="s">
        <v>376</v>
      </c>
      <c r="D149" s="24" t="s">
        <v>375</v>
      </c>
      <c r="E149" s="54">
        <v>-663067023178</v>
      </c>
    </row>
    <row r="150" spans="1:5" hidden="1" x14ac:dyDescent="0.2">
      <c r="A150" s="41" t="s">
        <v>377</v>
      </c>
      <c r="B150" s="26">
        <f t="shared" si="2"/>
        <v>4</v>
      </c>
      <c r="C150" s="24" t="s">
        <v>378</v>
      </c>
      <c r="D150" s="24" t="s">
        <v>377</v>
      </c>
      <c r="E150" s="54">
        <v>-663067023178</v>
      </c>
    </row>
    <row r="151" spans="1:5" hidden="1" x14ac:dyDescent="0.2">
      <c r="A151" s="41" t="s">
        <v>379</v>
      </c>
      <c r="B151" s="26">
        <f t="shared" si="2"/>
        <v>6</v>
      </c>
      <c r="C151" s="24" t="s">
        <v>773</v>
      </c>
      <c r="D151" s="24" t="s">
        <v>379</v>
      </c>
      <c r="E151" s="54">
        <v>-29146817849</v>
      </c>
    </row>
    <row r="152" spans="1:5" hidden="1" x14ac:dyDescent="0.2">
      <c r="A152" s="41" t="s">
        <v>381</v>
      </c>
      <c r="B152" s="26">
        <f t="shared" si="2"/>
        <v>6</v>
      </c>
      <c r="C152" s="24" t="s">
        <v>911</v>
      </c>
      <c r="D152" s="24" t="s">
        <v>381</v>
      </c>
      <c r="E152" s="54">
        <v>-137027577</v>
      </c>
    </row>
    <row r="153" spans="1:5" hidden="1" x14ac:dyDescent="0.2">
      <c r="A153" s="41" t="s">
        <v>383</v>
      </c>
      <c r="B153" s="26">
        <f t="shared" si="2"/>
        <v>6</v>
      </c>
      <c r="C153" s="24" t="s">
        <v>774</v>
      </c>
      <c r="D153" s="24" t="s">
        <v>383</v>
      </c>
      <c r="E153" s="54">
        <v>-605218047517</v>
      </c>
    </row>
    <row r="154" spans="1:5" hidden="1" x14ac:dyDescent="0.2">
      <c r="A154" s="41" t="s">
        <v>385</v>
      </c>
      <c r="B154" s="26">
        <f t="shared" si="2"/>
        <v>6</v>
      </c>
      <c r="C154" s="24" t="s">
        <v>775</v>
      </c>
      <c r="D154" s="24" t="s">
        <v>385</v>
      </c>
      <c r="E154" s="54">
        <v>-1308686003</v>
      </c>
    </row>
    <row r="155" spans="1:5" hidden="1" x14ac:dyDescent="0.2">
      <c r="A155" s="41" t="s">
        <v>387</v>
      </c>
      <c r="B155" s="26">
        <f t="shared" si="2"/>
        <v>6</v>
      </c>
      <c r="C155" s="24" t="s">
        <v>689</v>
      </c>
      <c r="D155" s="24" t="s">
        <v>387</v>
      </c>
      <c r="E155" s="54">
        <v>0</v>
      </c>
    </row>
    <row r="156" spans="1:5" hidden="1" x14ac:dyDescent="0.2">
      <c r="A156" s="41" t="s">
        <v>388</v>
      </c>
      <c r="B156" s="26">
        <f t="shared" si="2"/>
        <v>6</v>
      </c>
      <c r="C156" s="24" t="s">
        <v>15</v>
      </c>
      <c r="D156" s="24" t="s">
        <v>388</v>
      </c>
      <c r="E156" s="54">
        <v>-1126924864</v>
      </c>
    </row>
    <row r="157" spans="1:5" hidden="1" x14ac:dyDescent="0.2">
      <c r="A157" s="41" t="s">
        <v>390</v>
      </c>
      <c r="B157" s="26">
        <f t="shared" si="2"/>
        <v>6</v>
      </c>
      <c r="C157" s="24" t="s">
        <v>695</v>
      </c>
      <c r="D157" s="24" t="s">
        <v>390</v>
      </c>
      <c r="E157" s="54">
        <v>-25837233232</v>
      </c>
    </row>
    <row r="158" spans="1:5" x14ac:dyDescent="0.2">
      <c r="A158" s="41" t="s">
        <v>391</v>
      </c>
      <c r="B158" s="26">
        <f t="shared" si="2"/>
        <v>2</v>
      </c>
      <c r="C158" s="24" t="s">
        <v>392</v>
      </c>
      <c r="D158" s="24" t="s">
        <v>391</v>
      </c>
      <c r="E158" s="54">
        <v>-47177264978</v>
      </c>
    </row>
    <row r="159" spans="1:5" hidden="1" x14ac:dyDescent="0.2">
      <c r="A159" s="41" t="s">
        <v>393</v>
      </c>
      <c r="B159" s="26">
        <f t="shared" si="2"/>
        <v>4</v>
      </c>
      <c r="C159" s="24" t="s">
        <v>394</v>
      </c>
      <c r="D159" s="24" t="s">
        <v>393</v>
      </c>
      <c r="E159" s="54">
        <v>-1704194838</v>
      </c>
    </row>
    <row r="160" spans="1:5" hidden="1" x14ac:dyDescent="0.2">
      <c r="A160" s="41" t="s">
        <v>395</v>
      </c>
      <c r="B160" s="26">
        <f t="shared" si="2"/>
        <v>6</v>
      </c>
      <c r="C160" s="24" t="s">
        <v>776</v>
      </c>
      <c r="D160" s="24" t="s">
        <v>395</v>
      </c>
      <c r="E160" s="54">
        <v>-227517168</v>
      </c>
    </row>
    <row r="161" spans="1:5" hidden="1" x14ac:dyDescent="0.2">
      <c r="A161" s="41" t="s">
        <v>912</v>
      </c>
      <c r="B161" s="26">
        <f t="shared" si="2"/>
        <v>6</v>
      </c>
      <c r="C161" s="24" t="s">
        <v>913</v>
      </c>
      <c r="D161" s="24" t="s">
        <v>912</v>
      </c>
      <c r="E161" s="54">
        <v>0</v>
      </c>
    </row>
    <row r="162" spans="1:5" hidden="1" x14ac:dyDescent="0.2">
      <c r="A162" s="41" t="s">
        <v>397</v>
      </c>
      <c r="B162" s="26">
        <f t="shared" si="2"/>
        <v>6</v>
      </c>
      <c r="C162" s="24" t="s">
        <v>914</v>
      </c>
      <c r="D162" s="24" t="s">
        <v>397</v>
      </c>
      <c r="E162" s="54">
        <v>-921116977</v>
      </c>
    </row>
    <row r="163" spans="1:5" hidden="1" x14ac:dyDescent="0.2">
      <c r="A163" s="41" t="s">
        <v>399</v>
      </c>
      <c r="B163" s="26">
        <f t="shared" si="2"/>
        <v>6</v>
      </c>
      <c r="C163" s="24" t="s">
        <v>777</v>
      </c>
      <c r="D163" s="24" t="s">
        <v>399</v>
      </c>
      <c r="E163" s="54">
        <v>-5208305</v>
      </c>
    </row>
    <row r="164" spans="1:5" hidden="1" x14ac:dyDescent="0.2">
      <c r="A164" s="41" t="s">
        <v>401</v>
      </c>
      <c r="B164" s="26">
        <f t="shared" si="2"/>
        <v>6</v>
      </c>
      <c r="C164" s="24" t="s">
        <v>778</v>
      </c>
      <c r="D164" s="24" t="s">
        <v>401</v>
      </c>
      <c r="E164" s="54">
        <v>-550352388</v>
      </c>
    </row>
    <row r="165" spans="1:5" hidden="1" x14ac:dyDescent="0.2">
      <c r="A165" s="41" t="s">
        <v>403</v>
      </c>
      <c r="B165" s="26">
        <f t="shared" si="2"/>
        <v>4</v>
      </c>
      <c r="C165" s="24" t="s">
        <v>394</v>
      </c>
      <c r="D165" s="24" t="s">
        <v>403</v>
      </c>
      <c r="E165" s="54">
        <v>0</v>
      </c>
    </row>
    <row r="166" spans="1:5" hidden="1" x14ac:dyDescent="0.2">
      <c r="A166" s="41" t="s">
        <v>404</v>
      </c>
      <c r="B166" s="26">
        <f t="shared" si="2"/>
        <v>6</v>
      </c>
      <c r="C166" s="24" t="s">
        <v>776</v>
      </c>
      <c r="D166" s="24" t="s">
        <v>404</v>
      </c>
      <c r="E166" s="54">
        <v>0</v>
      </c>
    </row>
    <row r="167" spans="1:5" hidden="1" x14ac:dyDescent="0.2">
      <c r="A167" s="41" t="s">
        <v>405</v>
      </c>
      <c r="B167" s="26">
        <f t="shared" si="2"/>
        <v>6</v>
      </c>
      <c r="C167" s="24" t="s">
        <v>777</v>
      </c>
      <c r="D167" s="24" t="s">
        <v>405</v>
      </c>
      <c r="E167" s="54">
        <v>0</v>
      </c>
    </row>
    <row r="168" spans="1:5" hidden="1" x14ac:dyDescent="0.2">
      <c r="A168" s="41" t="s">
        <v>406</v>
      </c>
      <c r="B168" s="26">
        <f t="shared" si="2"/>
        <v>6</v>
      </c>
      <c r="C168" s="53" t="s">
        <v>778</v>
      </c>
      <c r="D168" s="24" t="s">
        <v>406</v>
      </c>
      <c r="E168" s="54">
        <v>0</v>
      </c>
    </row>
    <row r="169" spans="1:5" hidden="1" x14ac:dyDescent="0.2">
      <c r="A169" s="41" t="s">
        <v>865</v>
      </c>
      <c r="B169" s="26">
        <f t="shared" si="2"/>
        <v>4</v>
      </c>
      <c r="C169" s="24" t="s">
        <v>677</v>
      </c>
      <c r="D169" s="24" t="s">
        <v>865</v>
      </c>
      <c r="E169" s="54">
        <v>0</v>
      </c>
    </row>
    <row r="170" spans="1:5" hidden="1" x14ac:dyDescent="0.2">
      <c r="A170" s="41" t="s">
        <v>915</v>
      </c>
      <c r="B170" s="26">
        <f t="shared" si="2"/>
        <v>6</v>
      </c>
      <c r="C170" s="56" t="s">
        <v>833</v>
      </c>
      <c r="D170" s="24" t="s">
        <v>915</v>
      </c>
      <c r="E170" s="54">
        <v>0</v>
      </c>
    </row>
    <row r="171" spans="1:5" hidden="1" x14ac:dyDescent="0.2">
      <c r="A171" s="41" t="s">
        <v>407</v>
      </c>
      <c r="B171" s="26">
        <f t="shared" si="2"/>
        <v>4</v>
      </c>
      <c r="C171" s="24" t="s">
        <v>856</v>
      </c>
      <c r="D171" s="24" t="s">
        <v>407</v>
      </c>
      <c r="E171" s="54">
        <v>-45473070140</v>
      </c>
    </row>
    <row r="172" spans="1:5" hidden="1" x14ac:dyDescent="0.2">
      <c r="A172" s="41" t="s">
        <v>409</v>
      </c>
      <c r="B172" s="26">
        <f t="shared" si="2"/>
        <v>6</v>
      </c>
      <c r="C172" s="24" t="s">
        <v>779</v>
      </c>
      <c r="D172" s="24" t="s">
        <v>409</v>
      </c>
      <c r="E172" s="54">
        <v>0</v>
      </c>
    </row>
    <row r="173" spans="1:5" hidden="1" x14ac:dyDescent="0.2">
      <c r="A173" s="41" t="s">
        <v>411</v>
      </c>
      <c r="B173" s="26">
        <f t="shared" si="2"/>
        <v>6</v>
      </c>
      <c r="C173" s="24" t="s">
        <v>782</v>
      </c>
      <c r="D173" s="24" t="s">
        <v>411</v>
      </c>
      <c r="E173" s="54">
        <v>-45182655237</v>
      </c>
    </row>
    <row r="174" spans="1:5" hidden="1" x14ac:dyDescent="0.2">
      <c r="A174" s="41" t="s">
        <v>413</v>
      </c>
      <c r="B174" s="26">
        <f t="shared" si="2"/>
        <v>6</v>
      </c>
      <c r="C174" s="24" t="s">
        <v>783</v>
      </c>
      <c r="D174" s="24" t="s">
        <v>413</v>
      </c>
      <c r="E174" s="54">
        <v>-177340</v>
      </c>
    </row>
    <row r="175" spans="1:5" hidden="1" x14ac:dyDescent="0.2">
      <c r="A175" s="41" t="s">
        <v>415</v>
      </c>
      <c r="B175" s="26">
        <f t="shared" si="2"/>
        <v>6</v>
      </c>
      <c r="C175" s="59" t="s">
        <v>916</v>
      </c>
      <c r="D175" s="24" t="s">
        <v>415</v>
      </c>
      <c r="E175" s="54">
        <v>-290237563</v>
      </c>
    </row>
    <row r="176" spans="1:5" x14ac:dyDescent="0.2">
      <c r="A176" s="41" t="s">
        <v>427</v>
      </c>
      <c r="B176" s="26">
        <f t="shared" si="2"/>
        <v>2</v>
      </c>
      <c r="C176" s="24" t="s">
        <v>428</v>
      </c>
      <c r="D176" s="24" t="s">
        <v>427</v>
      </c>
      <c r="E176" s="54">
        <v>23981672923</v>
      </c>
    </row>
    <row r="177" spans="1:5" hidden="1" x14ac:dyDescent="0.2">
      <c r="A177" s="41" t="s">
        <v>429</v>
      </c>
      <c r="B177" s="26">
        <f t="shared" si="2"/>
        <v>4</v>
      </c>
      <c r="C177" s="24" t="s">
        <v>430</v>
      </c>
      <c r="D177" s="24" t="s">
        <v>429</v>
      </c>
      <c r="E177" s="54">
        <v>8754900641</v>
      </c>
    </row>
    <row r="178" spans="1:5" ht="14.25" hidden="1" customHeight="1" x14ac:dyDescent="0.2">
      <c r="A178" s="41" t="s">
        <v>431</v>
      </c>
      <c r="B178" s="26">
        <f t="shared" si="2"/>
        <v>6</v>
      </c>
      <c r="C178" s="24" t="s">
        <v>785</v>
      </c>
      <c r="D178" s="24" t="s">
        <v>431</v>
      </c>
      <c r="E178" s="54">
        <v>7847568971</v>
      </c>
    </row>
    <row r="179" spans="1:5" hidden="1" x14ac:dyDescent="0.2">
      <c r="A179" s="41" t="s">
        <v>441</v>
      </c>
      <c r="B179" s="26">
        <f t="shared" si="2"/>
        <v>6</v>
      </c>
      <c r="C179" s="24" t="s">
        <v>789</v>
      </c>
      <c r="D179" s="24" t="s">
        <v>441</v>
      </c>
      <c r="E179" s="54">
        <v>214722970</v>
      </c>
    </row>
    <row r="180" spans="1:5" hidden="1" x14ac:dyDescent="0.2">
      <c r="A180" s="41" t="s">
        <v>449</v>
      </c>
      <c r="B180" s="26">
        <f t="shared" si="2"/>
        <v>6</v>
      </c>
      <c r="C180" s="24" t="s">
        <v>793</v>
      </c>
      <c r="D180" s="24" t="s">
        <v>449</v>
      </c>
      <c r="E180" s="54">
        <v>692608700</v>
      </c>
    </row>
    <row r="181" spans="1:5" hidden="1" x14ac:dyDescent="0.2">
      <c r="A181" s="41" t="s">
        <v>456</v>
      </c>
      <c r="B181" s="26">
        <f t="shared" si="2"/>
        <v>4</v>
      </c>
      <c r="C181" s="24" t="s">
        <v>457</v>
      </c>
      <c r="D181" s="24" t="s">
        <v>456</v>
      </c>
      <c r="E181" s="54">
        <v>108309024</v>
      </c>
    </row>
    <row r="182" spans="1:5" hidden="1" x14ac:dyDescent="0.2">
      <c r="A182" s="41" t="s">
        <v>458</v>
      </c>
      <c r="B182" s="26">
        <f t="shared" si="2"/>
        <v>6</v>
      </c>
      <c r="C182" s="24" t="s">
        <v>15</v>
      </c>
      <c r="D182" s="24" t="s">
        <v>458</v>
      </c>
      <c r="E182" s="54">
        <v>75108435</v>
      </c>
    </row>
    <row r="183" spans="1:5" hidden="1" x14ac:dyDescent="0.2">
      <c r="A183" s="41" t="s">
        <v>459</v>
      </c>
      <c r="B183" s="26">
        <f t="shared" si="2"/>
        <v>6</v>
      </c>
      <c r="C183" s="53" t="s">
        <v>796</v>
      </c>
      <c r="D183" s="24" t="s">
        <v>459</v>
      </c>
      <c r="E183" s="54">
        <v>33200589</v>
      </c>
    </row>
    <row r="184" spans="1:5" hidden="1" x14ac:dyDescent="0.2">
      <c r="A184" s="41" t="s">
        <v>461</v>
      </c>
      <c r="B184" s="26">
        <f t="shared" si="2"/>
        <v>4</v>
      </c>
      <c r="C184" s="24" t="s">
        <v>462</v>
      </c>
      <c r="D184" s="24" t="s">
        <v>461</v>
      </c>
      <c r="E184" s="54">
        <v>2288370830</v>
      </c>
    </row>
    <row r="185" spans="1:5" hidden="1" x14ac:dyDescent="0.2">
      <c r="A185" s="41" t="s">
        <v>463</v>
      </c>
      <c r="B185" s="26">
        <f t="shared" si="2"/>
        <v>6</v>
      </c>
      <c r="C185" s="24" t="s">
        <v>797</v>
      </c>
      <c r="D185" s="24" t="s">
        <v>463</v>
      </c>
      <c r="E185" s="54">
        <v>352312400</v>
      </c>
    </row>
    <row r="186" spans="1:5" hidden="1" x14ac:dyDescent="0.2">
      <c r="A186" s="41" t="s">
        <v>464</v>
      </c>
      <c r="B186" s="26">
        <f t="shared" si="2"/>
        <v>6</v>
      </c>
      <c r="C186" s="24" t="s">
        <v>798</v>
      </c>
      <c r="D186" s="24" t="s">
        <v>464</v>
      </c>
      <c r="E186" s="54">
        <v>763647128</v>
      </c>
    </row>
    <row r="187" spans="1:5" hidden="1" x14ac:dyDescent="0.2">
      <c r="A187" s="41" t="s">
        <v>466</v>
      </c>
      <c r="B187" s="26">
        <f t="shared" si="2"/>
        <v>6</v>
      </c>
      <c r="C187" s="24" t="s">
        <v>799</v>
      </c>
      <c r="D187" s="24" t="s">
        <v>466</v>
      </c>
      <c r="E187" s="54">
        <v>115437300</v>
      </c>
    </row>
    <row r="188" spans="1:5" hidden="1" x14ac:dyDescent="0.2">
      <c r="A188" s="41" t="s">
        <v>468</v>
      </c>
      <c r="B188" s="26">
        <f t="shared" si="2"/>
        <v>6</v>
      </c>
      <c r="C188" s="24" t="s">
        <v>800</v>
      </c>
      <c r="D188" s="24" t="s">
        <v>468</v>
      </c>
      <c r="E188" s="54">
        <v>287698640</v>
      </c>
    </row>
    <row r="189" spans="1:5" hidden="1" x14ac:dyDescent="0.2">
      <c r="A189" s="41" t="s">
        <v>470</v>
      </c>
      <c r="B189" s="26">
        <f t="shared" si="2"/>
        <v>6</v>
      </c>
      <c r="C189" s="24" t="s">
        <v>801</v>
      </c>
      <c r="D189" s="24" t="s">
        <v>470</v>
      </c>
      <c r="E189" s="54">
        <v>769275362</v>
      </c>
    </row>
    <row r="190" spans="1:5" hidden="1" x14ac:dyDescent="0.2">
      <c r="A190" s="41" t="s">
        <v>472</v>
      </c>
      <c r="B190" s="26">
        <f t="shared" si="2"/>
        <v>4</v>
      </c>
      <c r="C190" s="24" t="s">
        <v>473</v>
      </c>
      <c r="D190" s="24" t="s">
        <v>472</v>
      </c>
      <c r="E190" s="54">
        <v>440614900</v>
      </c>
    </row>
    <row r="191" spans="1:5" hidden="1" x14ac:dyDescent="0.2">
      <c r="A191" s="41" t="s">
        <v>474</v>
      </c>
      <c r="B191" s="26">
        <f t="shared" si="2"/>
        <v>6</v>
      </c>
      <c r="C191" s="24" t="s">
        <v>802</v>
      </c>
      <c r="D191" s="24" t="s">
        <v>474</v>
      </c>
      <c r="E191" s="54">
        <v>264308000</v>
      </c>
    </row>
    <row r="192" spans="1:5" hidden="1" x14ac:dyDescent="0.2">
      <c r="A192" s="41" t="s">
        <v>476</v>
      </c>
      <c r="B192" s="26">
        <f t="shared" si="2"/>
        <v>6</v>
      </c>
      <c r="C192" s="24" t="s">
        <v>803</v>
      </c>
      <c r="D192" s="24" t="s">
        <v>476</v>
      </c>
      <c r="E192" s="54">
        <v>176306900</v>
      </c>
    </row>
    <row r="193" spans="1:5" hidden="1" x14ac:dyDescent="0.2">
      <c r="A193" s="41" t="s">
        <v>478</v>
      </c>
      <c r="B193" s="26">
        <f t="shared" si="2"/>
        <v>4</v>
      </c>
      <c r="C193" s="24" t="s">
        <v>479</v>
      </c>
      <c r="D193" s="24" t="s">
        <v>478</v>
      </c>
      <c r="E193" s="54">
        <v>1921205125</v>
      </c>
    </row>
    <row r="194" spans="1:5" hidden="1" x14ac:dyDescent="0.2">
      <c r="A194" s="41" t="s">
        <v>480</v>
      </c>
      <c r="B194" s="26">
        <f t="shared" ref="B194:B257" si="3">LEN(A194)</f>
        <v>6</v>
      </c>
      <c r="C194" s="24" t="s">
        <v>748</v>
      </c>
      <c r="D194" s="24" t="s">
        <v>480</v>
      </c>
      <c r="E194" s="54">
        <v>449525716</v>
      </c>
    </row>
    <row r="195" spans="1:5" hidden="1" x14ac:dyDescent="0.2">
      <c r="A195" s="41" t="s">
        <v>481</v>
      </c>
      <c r="B195" s="26">
        <f t="shared" si="3"/>
        <v>6</v>
      </c>
      <c r="C195" s="24" t="s">
        <v>746</v>
      </c>
      <c r="D195" s="24" t="s">
        <v>481</v>
      </c>
      <c r="E195" s="54">
        <v>697889731</v>
      </c>
    </row>
    <row r="196" spans="1:5" hidden="1" x14ac:dyDescent="0.2">
      <c r="A196" s="41" t="s">
        <v>482</v>
      </c>
      <c r="B196" s="26">
        <f t="shared" si="3"/>
        <v>6</v>
      </c>
      <c r="C196" s="24" t="s">
        <v>790</v>
      </c>
      <c r="D196" s="24" t="s">
        <v>482</v>
      </c>
      <c r="E196" s="54">
        <v>80995602</v>
      </c>
    </row>
    <row r="197" spans="1:5" hidden="1" x14ac:dyDescent="0.2">
      <c r="A197" s="41" t="s">
        <v>483</v>
      </c>
      <c r="B197" s="26">
        <f t="shared" si="3"/>
        <v>6</v>
      </c>
      <c r="C197" s="24" t="s">
        <v>762</v>
      </c>
      <c r="D197" s="24" t="s">
        <v>483</v>
      </c>
      <c r="E197" s="54">
        <v>692794076</v>
      </c>
    </row>
    <row r="198" spans="1:5" hidden="1" x14ac:dyDescent="0.2">
      <c r="A198" s="41" t="s">
        <v>484</v>
      </c>
      <c r="B198" s="26">
        <f t="shared" si="3"/>
        <v>4</v>
      </c>
      <c r="C198" s="24" t="s">
        <v>485</v>
      </c>
      <c r="D198" s="24" t="s">
        <v>484</v>
      </c>
      <c r="E198" s="54">
        <v>3631139289</v>
      </c>
    </row>
    <row r="199" spans="1:5" hidden="1" x14ac:dyDescent="0.2">
      <c r="A199" s="41" t="s">
        <v>486</v>
      </c>
      <c r="B199" s="26">
        <f t="shared" si="3"/>
        <v>6</v>
      </c>
      <c r="C199" s="59" t="s">
        <v>917</v>
      </c>
      <c r="D199" s="24" t="s">
        <v>486</v>
      </c>
      <c r="E199" s="54">
        <v>95931194</v>
      </c>
    </row>
    <row r="200" spans="1:5" hidden="1" x14ac:dyDescent="0.2">
      <c r="A200" s="41" t="s">
        <v>488</v>
      </c>
      <c r="B200" s="26">
        <f t="shared" si="3"/>
        <v>6</v>
      </c>
      <c r="C200" s="59" t="s">
        <v>730</v>
      </c>
      <c r="D200" s="24" t="s">
        <v>488</v>
      </c>
      <c r="E200" s="54">
        <v>369605469</v>
      </c>
    </row>
    <row r="201" spans="1:5" hidden="1" x14ac:dyDescent="0.2">
      <c r="A201" s="41" t="s">
        <v>489</v>
      </c>
      <c r="B201" s="26">
        <f t="shared" si="3"/>
        <v>6</v>
      </c>
      <c r="C201" s="59" t="s">
        <v>791</v>
      </c>
      <c r="D201" s="24" t="s">
        <v>489</v>
      </c>
      <c r="E201" s="54">
        <v>49481977</v>
      </c>
    </row>
    <row r="202" spans="1:5" hidden="1" x14ac:dyDescent="0.2">
      <c r="A202" s="41" t="s">
        <v>490</v>
      </c>
      <c r="B202" s="26">
        <f t="shared" si="3"/>
        <v>6</v>
      </c>
      <c r="C202" s="59" t="s">
        <v>918</v>
      </c>
      <c r="D202" s="24" t="s">
        <v>490</v>
      </c>
      <c r="E202" s="54">
        <v>85459469</v>
      </c>
    </row>
    <row r="203" spans="1:5" hidden="1" x14ac:dyDescent="0.2">
      <c r="A203" s="41" t="s">
        <v>492</v>
      </c>
      <c r="B203" s="26">
        <f t="shared" si="3"/>
        <v>6</v>
      </c>
      <c r="C203" s="59" t="s">
        <v>795</v>
      </c>
      <c r="D203" s="24" t="s">
        <v>492</v>
      </c>
      <c r="E203" s="54">
        <v>89814299</v>
      </c>
    </row>
    <row r="204" spans="1:5" hidden="1" x14ac:dyDescent="0.2">
      <c r="A204" s="41" t="s">
        <v>493</v>
      </c>
      <c r="B204" s="26">
        <f t="shared" si="3"/>
        <v>6</v>
      </c>
      <c r="C204" s="59" t="s">
        <v>794</v>
      </c>
      <c r="D204" s="24" t="s">
        <v>493</v>
      </c>
      <c r="E204" s="54">
        <v>20532820</v>
      </c>
    </row>
    <row r="205" spans="1:5" hidden="1" x14ac:dyDescent="0.2">
      <c r="A205" s="41" t="s">
        <v>494</v>
      </c>
      <c r="B205" s="26">
        <f t="shared" si="3"/>
        <v>4</v>
      </c>
      <c r="C205" s="24" t="s">
        <v>495</v>
      </c>
      <c r="D205" s="24" t="s">
        <v>494</v>
      </c>
      <c r="E205" s="54">
        <v>6834674789</v>
      </c>
    </row>
    <row r="206" spans="1:5" hidden="1" x14ac:dyDescent="0.2">
      <c r="A206" s="41" t="s">
        <v>498</v>
      </c>
      <c r="B206" s="26">
        <f t="shared" si="3"/>
        <v>6</v>
      </c>
      <c r="C206" s="24" t="s">
        <v>857</v>
      </c>
      <c r="D206" s="24" t="s">
        <v>498</v>
      </c>
      <c r="E206" s="54">
        <v>54300138</v>
      </c>
    </row>
    <row r="207" spans="1:5" hidden="1" x14ac:dyDescent="0.2">
      <c r="A207" s="41" t="s">
        <v>500</v>
      </c>
      <c r="B207" s="26">
        <f t="shared" si="3"/>
        <v>6</v>
      </c>
      <c r="C207" s="24" t="s">
        <v>806</v>
      </c>
      <c r="D207" s="24" t="s">
        <v>500</v>
      </c>
      <c r="E207" s="54">
        <v>97593836</v>
      </c>
    </row>
    <row r="208" spans="1:5" hidden="1" x14ac:dyDescent="0.2">
      <c r="A208" s="41" t="s">
        <v>502</v>
      </c>
      <c r="B208" s="26">
        <f t="shared" si="3"/>
        <v>6</v>
      </c>
      <c r="C208" s="24" t="s">
        <v>807</v>
      </c>
      <c r="D208" s="24" t="s">
        <v>502</v>
      </c>
      <c r="E208" s="54">
        <v>168842450</v>
      </c>
    </row>
    <row r="209" spans="1:5" hidden="1" x14ac:dyDescent="0.2">
      <c r="A209" s="41" t="s">
        <v>504</v>
      </c>
      <c r="B209" s="26">
        <f t="shared" si="3"/>
        <v>6</v>
      </c>
      <c r="C209" s="24" t="s">
        <v>808</v>
      </c>
      <c r="D209" s="24" t="s">
        <v>504</v>
      </c>
      <c r="E209" s="54">
        <v>49121068</v>
      </c>
    </row>
    <row r="210" spans="1:5" hidden="1" x14ac:dyDescent="0.2">
      <c r="A210" s="41" t="s">
        <v>506</v>
      </c>
      <c r="B210" s="26">
        <f t="shared" si="3"/>
        <v>6</v>
      </c>
      <c r="C210" s="24" t="s">
        <v>715</v>
      </c>
      <c r="D210" s="24" t="s">
        <v>506</v>
      </c>
      <c r="E210" s="54">
        <v>1401302468</v>
      </c>
    </row>
    <row r="211" spans="1:5" hidden="1" x14ac:dyDescent="0.2">
      <c r="A211" s="41" t="s">
        <v>507</v>
      </c>
      <c r="B211" s="26">
        <f t="shared" si="3"/>
        <v>6</v>
      </c>
      <c r="C211" s="24" t="s">
        <v>809</v>
      </c>
      <c r="D211" s="24" t="s">
        <v>507</v>
      </c>
      <c r="E211" s="54">
        <v>2520728500</v>
      </c>
    </row>
    <row r="212" spans="1:5" hidden="1" x14ac:dyDescent="0.2">
      <c r="A212" s="41" t="s">
        <v>509</v>
      </c>
      <c r="B212" s="26">
        <f t="shared" si="3"/>
        <v>6</v>
      </c>
      <c r="C212" s="24" t="s">
        <v>717</v>
      </c>
      <c r="D212" s="24" t="s">
        <v>509</v>
      </c>
      <c r="E212" s="54">
        <v>800000</v>
      </c>
    </row>
    <row r="213" spans="1:5" hidden="1" x14ac:dyDescent="0.2">
      <c r="A213" s="41" t="s">
        <v>510</v>
      </c>
      <c r="B213" s="26">
        <f t="shared" si="3"/>
        <v>6</v>
      </c>
      <c r="C213" s="24" t="s">
        <v>810</v>
      </c>
      <c r="D213" s="24" t="s">
        <v>510</v>
      </c>
      <c r="E213" s="54">
        <v>139958994</v>
      </c>
    </row>
    <row r="214" spans="1:5" hidden="1" x14ac:dyDescent="0.2">
      <c r="A214" s="41" t="s">
        <v>512</v>
      </c>
      <c r="B214" s="26">
        <f t="shared" si="3"/>
        <v>6</v>
      </c>
      <c r="C214" s="24" t="s">
        <v>811</v>
      </c>
      <c r="D214" s="24" t="s">
        <v>512</v>
      </c>
      <c r="E214" s="54">
        <v>104952060</v>
      </c>
    </row>
    <row r="215" spans="1:5" hidden="1" x14ac:dyDescent="0.2">
      <c r="A215" s="41" t="s">
        <v>514</v>
      </c>
      <c r="B215" s="26">
        <f t="shared" si="3"/>
        <v>6</v>
      </c>
      <c r="C215" s="24" t="s">
        <v>812</v>
      </c>
      <c r="D215" s="24" t="s">
        <v>514</v>
      </c>
      <c r="E215" s="54">
        <v>85900</v>
      </c>
    </row>
    <row r="216" spans="1:5" hidden="1" x14ac:dyDescent="0.2">
      <c r="A216" s="41" t="s">
        <v>516</v>
      </c>
      <c r="B216" s="26">
        <f t="shared" si="3"/>
        <v>6</v>
      </c>
      <c r="C216" s="24" t="s">
        <v>813</v>
      </c>
      <c r="D216" s="24" t="s">
        <v>516</v>
      </c>
      <c r="E216" s="54">
        <v>65390239</v>
      </c>
    </row>
    <row r="217" spans="1:5" hidden="1" x14ac:dyDescent="0.2">
      <c r="A217" s="41" t="s">
        <v>518</v>
      </c>
      <c r="B217" s="26">
        <f t="shared" si="3"/>
        <v>6</v>
      </c>
      <c r="C217" s="24" t="s">
        <v>814</v>
      </c>
      <c r="D217" s="24" t="s">
        <v>518</v>
      </c>
      <c r="E217" s="54">
        <v>8439480</v>
      </c>
    </row>
    <row r="218" spans="1:5" hidden="1" x14ac:dyDescent="0.2">
      <c r="A218" s="41" t="s">
        <v>520</v>
      </c>
      <c r="B218" s="26">
        <f t="shared" si="3"/>
        <v>6</v>
      </c>
      <c r="C218" s="24" t="s">
        <v>815</v>
      </c>
      <c r="D218" s="24" t="s">
        <v>520</v>
      </c>
      <c r="E218" s="54">
        <v>25262600</v>
      </c>
    </row>
    <row r="219" spans="1:5" hidden="1" x14ac:dyDescent="0.2">
      <c r="A219" s="41" t="s">
        <v>522</v>
      </c>
      <c r="B219" s="26">
        <f t="shared" si="3"/>
        <v>6</v>
      </c>
      <c r="C219" s="24" t="s">
        <v>816</v>
      </c>
      <c r="D219" s="24" t="s">
        <v>522</v>
      </c>
      <c r="E219" s="54">
        <v>563101995</v>
      </c>
    </row>
    <row r="220" spans="1:5" hidden="1" x14ac:dyDescent="0.2">
      <c r="A220" s="41" t="s">
        <v>524</v>
      </c>
      <c r="B220" s="26">
        <f t="shared" si="3"/>
        <v>6</v>
      </c>
      <c r="C220" s="24" t="s">
        <v>817</v>
      </c>
      <c r="D220" s="24" t="s">
        <v>524</v>
      </c>
      <c r="E220" s="54">
        <v>109867339</v>
      </c>
    </row>
    <row r="221" spans="1:5" hidden="1" x14ac:dyDescent="0.2">
      <c r="A221" s="41" t="s">
        <v>526</v>
      </c>
      <c r="B221" s="26">
        <f t="shared" si="3"/>
        <v>6</v>
      </c>
      <c r="C221" s="24" t="s">
        <v>818</v>
      </c>
      <c r="D221" s="24" t="s">
        <v>526</v>
      </c>
      <c r="E221" s="54">
        <v>77306383</v>
      </c>
    </row>
    <row r="222" spans="1:5" hidden="1" x14ac:dyDescent="0.2">
      <c r="A222" s="41" t="s">
        <v>528</v>
      </c>
      <c r="B222" s="26">
        <f t="shared" si="3"/>
        <v>6</v>
      </c>
      <c r="C222" s="24" t="s">
        <v>819</v>
      </c>
      <c r="D222" s="24" t="s">
        <v>528</v>
      </c>
      <c r="E222" s="54">
        <v>118761718</v>
      </c>
    </row>
    <row r="223" spans="1:5" hidden="1" x14ac:dyDescent="0.2">
      <c r="A223" s="41" t="s">
        <v>530</v>
      </c>
      <c r="B223" s="26">
        <f t="shared" si="3"/>
        <v>6</v>
      </c>
      <c r="C223" s="24" t="s">
        <v>820</v>
      </c>
      <c r="D223" s="24" t="s">
        <v>530</v>
      </c>
      <c r="E223" s="54">
        <v>2332550</v>
      </c>
    </row>
    <row r="224" spans="1:5" hidden="1" x14ac:dyDescent="0.2">
      <c r="A224" s="41" t="s">
        <v>532</v>
      </c>
      <c r="B224" s="26">
        <f t="shared" si="3"/>
        <v>6</v>
      </c>
      <c r="C224" s="56" t="s">
        <v>858</v>
      </c>
      <c r="D224" s="24" t="s">
        <v>532</v>
      </c>
      <c r="E224" s="54">
        <v>0</v>
      </c>
    </row>
    <row r="225" spans="1:5" hidden="1" x14ac:dyDescent="0.2">
      <c r="A225" s="41" t="s">
        <v>534</v>
      </c>
      <c r="B225" s="26">
        <f t="shared" si="3"/>
        <v>6</v>
      </c>
      <c r="C225" s="56" t="s">
        <v>729</v>
      </c>
      <c r="D225" s="24" t="s">
        <v>534</v>
      </c>
      <c r="E225" s="54">
        <v>0</v>
      </c>
    </row>
    <row r="226" spans="1:5" hidden="1" x14ac:dyDescent="0.2">
      <c r="A226" s="41" t="s">
        <v>535</v>
      </c>
      <c r="B226" s="26">
        <f t="shared" si="3"/>
        <v>6</v>
      </c>
      <c r="C226" s="56" t="s">
        <v>730</v>
      </c>
      <c r="D226" s="24" t="s">
        <v>535</v>
      </c>
      <c r="E226" s="54">
        <v>300200635</v>
      </c>
    </row>
    <row r="227" spans="1:5" hidden="1" x14ac:dyDescent="0.2">
      <c r="A227" s="41" t="s">
        <v>536</v>
      </c>
      <c r="B227" s="26">
        <f t="shared" si="3"/>
        <v>6</v>
      </c>
      <c r="C227" s="56" t="s">
        <v>14</v>
      </c>
      <c r="D227" s="24" t="s">
        <v>536</v>
      </c>
      <c r="E227" s="54">
        <v>1026326436</v>
      </c>
    </row>
    <row r="228" spans="1:5" hidden="1" x14ac:dyDescent="0.2">
      <c r="A228" s="41" t="s">
        <v>537</v>
      </c>
      <c r="B228" s="26">
        <f t="shared" si="3"/>
        <v>4</v>
      </c>
      <c r="C228" s="24" t="s">
        <v>538</v>
      </c>
      <c r="D228" s="24" t="s">
        <v>537</v>
      </c>
      <c r="E228" s="54">
        <v>2458325</v>
      </c>
    </row>
    <row r="229" spans="1:5" hidden="1" x14ac:dyDescent="0.2">
      <c r="A229" s="41" t="s">
        <v>541</v>
      </c>
      <c r="B229" s="26">
        <f t="shared" si="3"/>
        <v>6</v>
      </c>
      <c r="C229" s="56" t="s">
        <v>737</v>
      </c>
      <c r="D229" s="24" t="s">
        <v>541</v>
      </c>
      <c r="E229" s="54">
        <v>0</v>
      </c>
    </row>
    <row r="230" spans="1:5" hidden="1" x14ac:dyDescent="0.2">
      <c r="A230" s="41" t="s">
        <v>545</v>
      </c>
      <c r="B230" s="26">
        <f t="shared" si="3"/>
        <v>6</v>
      </c>
      <c r="C230" s="24" t="s">
        <v>824</v>
      </c>
      <c r="D230" s="24" t="s">
        <v>545</v>
      </c>
      <c r="E230" s="54">
        <v>2451709</v>
      </c>
    </row>
    <row r="231" spans="1:5" x14ac:dyDescent="0.2">
      <c r="A231" s="41" t="s">
        <v>547</v>
      </c>
      <c r="B231" s="26">
        <f t="shared" si="3"/>
        <v>2</v>
      </c>
      <c r="C231" s="24" t="s">
        <v>548</v>
      </c>
      <c r="D231" s="24" t="s">
        <v>547</v>
      </c>
      <c r="E231" s="54">
        <v>1831679753</v>
      </c>
    </row>
    <row r="232" spans="1:5" hidden="1" x14ac:dyDescent="0.2">
      <c r="A232" s="41" t="s">
        <v>571</v>
      </c>
      <c r="B232" s="26">
        <f t="shared" si="3"/>
        <v>4</v>
      </c>
      <c r="C232" s="24" t="s">
        <v>572</v>
      </c>
      <c r="D232" s="24" t="s">
        <v>571</v>
      </c>
      <c r="E232" s="54">
        <v>1619091206</v>
      </c>
    </row>
    <row r="233" spans="1:5" hidden="1" x14ac:dyDescent="0.2">
      <c r="A233" s="41" t="s">
        <v>573</v>
      </c>
      <c r="B233" s="26">
        <f t="shared" si="3"/>
        <v>6</v>
      </c>
      <c r="C233" s="24" t="s">
        <v>703</v>
      </c>
      <c r="D233" s="24" t="s">
        <v>573</v>
      </c>
      <c r="E233" s="54">
        <v>1611574438</v>
      </c>
    </row>
    <row r="234" spans="1:5" hidden="1" x14ac:dyDescent="0.2">
      <c r="A234" s="41" t="s">
        <v>574</v>
      </c>
      <c r="B234" s="26">
        <f t="shared" si="3"/>
        <v>6</v>
      </c>
      <c r="C234" s="24" t="s">
        <v>703</v>
      </c>
      <c r="D234" s="24" t="s">
        <v>574</v>
      </c>
      <c r="E234" s="54">
        <v>7516768</v>
      </c>
    </row>
    <row r="235" spans="1:5" hidden="1" x14ac:dyDescent="0.2">
      <c r="A235" s="41" t="s">
        <v>575</v>
      </c>
      <c r="B235" s="26">
        <f t="shared" si="3"/>
        <v>4</v>
      </c>
      <c r="C235" s="24" t="s">
        <v>560</v>
      </c>
      <c r="D235" s="24" t="s">
        <v>575</v>
      </c>
      <c r="E235" s="54">
        <v>47404524</v>
      </c>
    </row>
    <row r="236" spans="1:5" hidden="1" x14ac:dyDescent="0.2">
      <c r="A236" s="41" t="s">
        <v>576</v>
      </c>
      <c r="B236" s="26">
        <f t="shared" si="3"/>
        <v>6</v>
      </c>
      <c r="C236" s="24" t="s">
        <v>709</v>
      </c>
      <c r="D236" s="24" t="s">
        <v>576</v>
      </c>
      <c r="E236" s="54">
        <v>38142792</v>
      </c>
    </row>
    <row r="237" spans="1:5" hidden="1" x14ac:dyDescent="0.2">
      <c r="A237" s="41" t="s">
        <v>577</v>
      </c>
      <c r="B237" s="26">
        <f t="shared" si="3"/>
        <v>6</v>
      </c>
      <c r="C237" s="24" t="s">
        <v>827</v>
      </c>
      <c r="D237" s="24" t="s">
        <v>577</v>
      </c>
      <c r="E237" s="54">
        <v>9191324</v>
      </c>
    </row>
    <row r="238" spans="1:5" hidden="1" x14ac:dyDescent="0.2">
      <c r="A238" s="41" t="s">
        <v>578</v>
      </c>
      <c r="B238" s="26">
        <f t="shared" si="3"/>
        <v>6</v>
      </c>
      <c r="C238" s="24" t="s">
        <v>711</v>
      </c>
      <c r="D238" s="24" t="s">
        <v>578</v>
      </c>
      <c r="E238" s="54">
        <v>70408</v>
      </c>
    </row>
    <row r="239" spans="1:5" hidden="1" x14ac:dyDescent="0.2">
      <c r="A239" s="41" t="s">
        <v>579</v>
      </c>
      <c r="B239" s="26">
        <f t="shared" si="3"/>
        <v>4</v>
      </c>
      <c r="C239" s="24" t="s">
        <v>580</v>
      </c>
      <c r="D239" s="24" t="s">
        <v>579</v>
      </c>
      <c r="E239" s="54">
        <v>146293115</v>
      </c>
    </row>
    <row r="240" spans="1:5" hidden="1" x14ac:dyDescent="0.2">
      <c r="A240" s="41" t="s">
        <v>581</v>
      </c>
      <c r="B240" s="26">
        <f t="shared" si="3"/>
        <v>6</v>
      </c>
      <c r="C240" s="57" t="s">
        <v>906</v>
      </c>
      <c r="D240" s="24" t="s">
        <v>581</v>
      </c>
      <c r="E240" s="54">
        <v>146293115</v>
      </c>
    </row>
    <row r="241" spans="1:5" hidden="1" x14ac:dyDescent="0.2">
      <c r="A241" s="41" t="s">
        <v>582</v>
      </c>
      <c r="B241" s="26">
        <f t="shared" si="3"/>
        <v>4</v>
      </c>
      <c r="C241" s="24" t="s">
        <v>557</v>
      </c>
      <c r="D241" s="24" t="s">
        <v>582</v>
      </c>
      <c r="E241" s="54">
        <v>18890908</v>
      </c>
    </row>
    <row r="242" spans="1:5" hidden="1" x14ac:dyDescent="0.2">
      <c r="A242" s="41" t="s">
        <v>583</v>
      </c>
      <c r="B242" s="26">
        <f t="shared" si="3"/>
        <v>6</v>
      </c>
      <c r="C242" s="57" t="s">
        <v>919</v>
      </c>
      <c r="D242" s="24" t="s">
        <v>583</v>
      </c>
      <c r="E242" s="54">
        <v>18890908</v>
      </c>
    </row>
    <row r="243" spans="1:5" x14ac:dyDescent="0.2">
      <c r="A243" s="41" t="s">
        <v>585</v>
      </c>
      <c r="B243" s="26">
        <f t="shared" si="3"/>
        <v>2</v>
      </c>
      <c r="C243" s="24" t="s">
        <v>586</v>
      </c>
      <c r="D243" s="24" t="s">
        <v>585</v>
      </c>
      <c r="E243" s="54">
        <v>645256162613</v>
      </c>
    </row>
    <row r="244" spans="1:5" hidden="1" x14ac:dyDescent="0.2">
      <c r="A244" s="41" t="s">
        <v>587</v>
      </c>
      <c r="B244" s="26">
        <f t="shared" si="3"/>
        <v>4</v>
      </c>
      <c r="C244" s="24" t="s">
        <v>588</v>
      </c>
      <c r="D244" s="24" t="s">
        <v>587</v>
      </c>
      <c r="E244" s="54">
        <v>645256162613</v>
      </c>
    </row>
    <row r="245" spans="1:5" hidden="1" x14ac:dyDescent="0.2">
      <c r="A245" s="41" t="s">
        <v>589</v>
      </c>
      <c r="B245" s="26">
        <f t="shared" si="3"/>
        <v>6</v>
      </c>
      <c r="C245" s="24" t="s">
        <v>920</v>
      </c>
      <c r="D245" s="24" t="s">
        <v>589</v>
      </c>
      <c r="E245" s="49">
        <v>9223733554</v>
      </c>
    </row>
    <row r="246" spans="1:5" hidden="1" x14ac:dyDescent="0.2">
      <c r="A246" s="41" t="s">
        <v>591</v>
      </c>
      <c r="B246" s="26">
        <f t="shared" si="3"/>
        <v>6</v>
      </c>
      <c r="C246" s="24" t="s">
        <v>921</v>
      </c>
      <c r="D246" s="24" t="s">
        <v>591</v>
      </c>
      <c r="E246" s="54">
        <v>13027507478</v>
      </c>
    </row>
    <row r="247" spans="1:5" hidden="1" x14ac:dyDescent="0.2">
      <c r="A247" s="41" t="s">
        <v>593</v>
      </c>
      <c r="B247" s="26">
        <f t="shared" si="3"/>
        <v>6</v>
      </c>
      <c r="C247" s="24" t="s">
        <v>922</v>
      </c>
      <c r="D247" s="24" t="s">
        <v>593</v>
      </c>
      <c r="E247" s="54">
        <v>1469280923</v>
      </c>
    </row>
    <row r="248" spans="1:5" hidden="1" x14ac:dyDescent="0.2">
      <c r="A248" s="41" t="s">
        <v>595</v>
      </c>
      <c r="B248" s="26">
        <f t="shared" si="3"/>
        <v>6</v>
      </c>
      <c r="C248" s="24" t="s">
        <v>923</v>
      </c>
      <c r="D248" s="24" t="s">
        <v>595</v>
      </c>
      <c r="E248" s="49">
        <v>201634426049</v>
      </c>
    </row>
    <row r="249" spans="1:5" hidden="1" x14ac:dyDescent="0.2">
      <c r="A249" s="41" t="s">
        <v>597</v>
      </c>
      <c r="B249" s="26">
        <f t="shared" si="3"/>
        <v>6</v>
      </c>
      <c r="C249" s="24" t="s">
        <v>924</v>
      </c>
      <c r="D249" s="24" t="s">
        <v>597</v>
      </c>
      <c r="E249" s="54">
        <v>387808817989</v>
      </c>
    </row>
    <row r="250" spans="1:5" hidden="1" x14ac:dyDescent="0.2">
      <c r="A250" s="41" t="s">
        <v>599</v>
      </c>
      <c r="B250" s="26">
        <f t="shared" si="3"/>
        <v>6</v>
      </c>
      <c r="C250" s="24" t="s">
        <v>843</v>
      </c>
      <c r="D250" s="24" t="s">
        <v>599</v>
      </c>
      <c r="E250" s="54">
        <v>0</v>
      </c>
    </row>
    <row r="251" spans="1:5" hidden="1" x14ac:dyDescent="0.2">
      <c r="A251" s="41" t="s">
        <v>601</v>
      </c>
      <c r="B251" s="26">
        <f t="shared" si="3"/>
        <v>6</v>
      </c>
      <c r="C251" s="24" t="s">
        <v>843</v>
      </c>
      <c r="D251" s="24" t="s">
        <v>601</v>
      </c>
      <c r="E251" s="54">
        <v>917514913</v>
      </c>
    </row>
    <row r="252" spans="1:5" hidden="1" x14ac:dyDescent="0.2">
      <c r="A252" s="41" t="s">
        <v>602</v>
      </c>
      <c r="B252" s="26">
        <f t="shared" si="3"/>
        <v>6</v>
      </c>
      <c r="C252" s="24" t="s">
        <v>936</v>
      </c>
      <c r="D252" s="24" t="s">
        <v>602</v>
      </c>
      <c r="E252" s="54">
        <v>31067663462</v>
      </c>
    </row>
    <row r="253" spans="1:5" hidden="1" x14ac:dyDescent="0.2">
      <c r="A253" s="41" t="s">
        <v>603</v>
      </c>
      <c r="B253" s="26">
        <f t="shared" si="3"/>
        <v>6</v>
      </c>
      <c r="C253" s="60" t="s">
        <v>765</v>
      </c>
      <c r="D253" s="24" t="s">
        <v>603</v>
      </c>
      <c r="E253" s="54">
        <v>0</v>
      </c>
    </row>
    <row r="254" spans="1:5" hidden="1" x14ac:dyDescent="0.2">
      <c r="A254" s="41" t="s">
        <v>604</v>
      </c>
      <c r="B254" s="26">
        <f t="shared" si="3"/>
        <v>6</v>
      </c>
      <c r="C254" s="60" t="s">
        <v>925</v>
      </c>
      <c r="D254" s="24" t="s">
        <v>604</v>
      </c>
      <c r="E254" s="54">
        <v>10511475</v>
      </c>
    </row>
    <row r="255" spans="1:5" hidden="1" x14ac:dyDescent="0.2">
      <c r="A255" s="41" t="s">
        <v>605</v>
      </c>
      <c r="B255" s="26">
        <f t="shared" si="3"/>
        <v>6</v>
      </c>
      <c r="C255" s="60" t="s">
        <v>926</v>
      </c>
      <c r="D255" s="24" t="s">
        <v>605</v>
      </c>
      <c r="E255" s="54">
        <v>96706770</v>
      </c>
    </row>
    <row r="256" spans="1:5" x14ac:dyDescent="0.2">
      <c r="A256" s="41" t="s">
        <v>607</v>
      </c>
      <c r="B256" s="26">
        <f t="shared" si="3"/>
        <v>2</v>
      </c>
      <c r="C256" s="24" t="s">
        <v>608</v>
      </c>
      <c r="D256" s="24" t="s">
        <v>607</v>
      </c>
      <c r="E256" s="54">
        <v>2196824839</v>
      </c>
    </row>
    <row r="257" spans="1:5" hidden="1" x14ac:dyDescent="0.2">
      <c r="A257" s="41" t="s">
        <v>613</v>
      </c>
      <c r="B257" s="26">
        <f t="shared" si="3"/>
        <v>4</v>
      </c>
      <c r="C257" s="24" t="s">
        <v>232</v>
      </c>
      <c r="D257" s="24" t="s">
        <v>613</v>
      </c>
      <c r="E257" s="54">
        <v>16269883</v>
      </c>
    </row>
    <row r="258" spans="1:5" hidden="1" x14ac:dyDescent="0.2">
      <c r="A258" s="41" t="s">
        <v>614</v>
      </c>
      <c r="B258" s="26">
        <f t="shared" ref="B258:B277" si="4">LEN(A258)</f>
        <v>6</v>
      </c>
      <c r="C258" s="24" t="s">
        <v>927</v>
      </c>
      <c r="D258" s="24" t="s">
        <v>614</v>
      </c>
      <c r="E258" s="54">
        <v>1820224</v>
      </c>
    </row>
    <row r="259" spans="1:5" hidden="1" x14ac:dyDescent="0.2">
      <c r="A259" s="41" t="s">
        <v>618</v>
      </c>
      <c r="B259" s="26">
        <f t="shared" si="4"/>
        <v>6</v>
      </c>
      <c r="C259" s="24" t="s">
        <v>928</v>
      </c>
      <c r="D259" s="24" t="s">
        <v>618</v>
      </c>
      <c r="E259" s="54">
        <v>14449659</v>
      </c>
    </row>
    <row r="260" spans="1:5" hidden="1" x14ac:dyDescent="0.2">
      <c r="A260" s="41" t="s">
        <v>676</v>
      </c>
      <c r="B260" s="26">
        <f t="shared" si="4"/>
        <v>4</v>
      </c>
      <c r="C260" s="24" t="s">
        <v>677</v>
      </c>
      <c r="D260" s="24" t="s">
        <v>676</v>
      </c>
      <c r="E260" s="54">
        <v>0</v>
      </c>
    </row>
    <row r="261" spans="1:5" hidden="1" x14ac:dyDescent="0.2">
      <c r="A261" s="41" t="s">
        <v>832</v>
      </c>
      <c r="B261" s="26">
        <f t="shared" si="4"/>
        <v>6</v>
      </c>
      <c r="C261" s="56" t="s">
        <v>833</v>
      </c>
      <c r="D261" s="24" t="s">
        <v>832</v>
      </c>
      <c r="E261" s="54">
        <v>0</v>
      </c>
    </row>
    <row r="262" spans="1:5" hidden="1" x14ac:dyDescent="0.2">
      <c r="A262" s="41" t="s">
        <v>620</v>
      </c>
      <c r="B262" s="26">
        <f t="shared" si="4"/>
        <v>4</v>
      </c>
      <c r="C262" s="24" t="s">
        <v>394</v>
      </c>
      <c r="D262" s="24" t="s">
        <v>620</v>
      </c>
      <c r="E262" s="54">
        <v>1830870019</v>
      </c>
    </row>
    <row r="263" spans="1:5" hidden="1" x14ac:dyDescent="0.2">
      <c r="A263" s="41" t="s">
        <v>621</v>
      </c>
      <c r="B263" s="26">
        <f t="shared" si="4"/>
        <v>6</v>
      </c>
      <c r="C263" s="59" t="s">
        <v>823</v>
      </c>
      <c r="D263" s="24" t="s">
        <v>621</v>
      </c>
      <c r="E263" s="54">
        <v>41333130</v>
      </c>
    </row>
    <row r="264" spans="1:5" hidden="1" x14ac:dyDescent="0.2">
      <c r="A264" s="41" t="s">
        <v>622</v>
      </c>
      <c r="B264" s="26">
        <f t="shared" si="4"/>
        <v>6</v>
      </c>
      <c r="C264" s="59" t="s">
        <v>929</v>
      </c>
      <c r="D264" s="24" t="s">
        <v>622</v>
      </c>
      <c r="E264" s="54">
        <v>1789536889</v>
      </c>
    </row>
    <row r="265" spans="1:5" hidden="1" x14ac:dyDescent="0.2">
      <c r="A265" s="41" t="s">
        <v>637</v>
      </c>
      <c r="B265" s="26">
        <f t="shared" si="4"/>
        <v>4</v>
      </c>
      <c r="C265" s="24" t="s">
        <v>638</v>
      </c>
      <c r="D265" s="24" t="s">
        <v>637</v>
      </c>
      <c r="E265" s="54">
        <v>349684937</v>
      </c>
    </row>
    <row r="266" spans="1:5" hidden="1" x14ac:dyDescent="0.2">
      <c r="A266" s="41" t="s">
        <v>639</v>
      </c>
      <c r="B266" s="26">
        <f t="shared" si="4"/>
        <v>6</v>
      </c>
      <c r="C266" s="24" t="s">
        <v>930</v>
      </c>
      <c r="D266" s="24" t="s">
        <v>639</v>
      </c>
      <c r="E266" s="54">
        <v>0</v>
      </c>
    </row>
    <row r="267" spans="1:5" hidden="1" x14ac:dyDescent="0.2">
      <c r="A267" s="41" t="s">
        <v>641</v>
      </c>
      <c r="B267" s="26">
        <f t="shared" si="4"/>
        <v>6</v>
      </c>
      <c r="C267" s="24" t="s">
        <v>931</v>
      </c>
      <c r="D267" s="24" t="s">
        <v>641</v>
      </c>
      <c r="E267" s="54">
        <v>349415580</v>
      </c>
    </row>
    <row r="268" spans="1:5" hidden="1" x14ac:dyDescent="0.2">
      <c r="A268" s="41" t="s">
        <v>643</v>
      </c>
      <c r="B268" s="26">
        <f t="shared" si="4"/>
        <v>6</v>
      </c>
      <c r="C268" s="24" t="s">
        <v>932</v>
      </c>
      <c r="D268" s="24" t="s">
        <v>643</v>
      </c>
      <c r="E268" s="54">
        <v>0</v>
      </c>
    </row>
    <row r="269" spans="1:5" hidden="1" x14ac:dyDescent="0.2">
      <c r="A269" s="41" t="s">
        <v>644</v>
      </c>
      <c r="B269" s="26">
        <f t="shared" si="4"/>
        <v>6</v>
      </c>
      <c r="C269" s="24" t="s">
        <v>933</v>
      </c>
      <c r="D269" s="24" t="s">
        <v>644</v>
      </c>
      <c r="E269" s="54">
        <v>269357</v>
      </c>
    </row>
    <row r="270" spans="1:5" x14ac:dyDescent="0.2">
      <c r="A270" s="41" t="s">
        <v>859</v>
      </c>
      <c r="B270" s="26">
        <f t="shared" si="4"/>
        <v>2</v>
      </c>
      <c r="C270" s="24" t="s">
        <v>860</v>
      </c>
      <c r="D270" s="24" t="s">
        <v>859</v>
      </c>
      <c r="E270" s="54">
        <v>0</v>
      </c>
    </row>
    <row r="271" spans="1:5" hidden="1" x14ac:dyDescent="0.2">
      <c r="A271" s="41" t="s">
        <v>866</v>
      </c>
      <c r="B271" s="26">
        <f t="shared" si="4"/>
        <v>4</v>
      </c>
      <c r="C271" s="24" t="s">
        <v>860</v>
      </c>
      <c r="D271" s="24" t="s">
        <v>866</v>
      </c>
      <c r="E271" s="54">
        <v>0</v>
      </c>
    </row>
    <row r="272" spans="1:5" hidden="1" x14ac:dyDescent="0.2">
      <c r="A272" s="41" t="s">
        <v>934</v>
      </c>
      <c r="B272" s="26">
        <f t="shared" si="4"/>
        <v>6</v>
      </c>
      <c r="C272" s="24" t="s">
        <v>935</v>
      </c>
      <c r="D272" s="24" t="s">
        <v>934</v>
      </c>
      <c r="E272" s="54">
        <v>0</v>
      </c>
    </row>
    <row r="273" spans="1:5" hidden="1" x14ac:dyDescent="0.2">
      <c r="A273" s="41" t="s">
        <v>937</v>
      </c>
      <c r="B273" s="26">
        <f t="shared" si="4"/>
        <v>6</v>
      </c>
      <c r="C273" s="57" t="s">
        <v>712</v>
      </c>
      <c r="D273" s="24" t="e">
        <v>#N/A</v>
      </c>
      <c r="E273" s="54">
        <v>0</v>
      </c>
    </row>
    <row r="274" spans="1:5" hidden="1" x14ac:dyDescent="0.2">
      <c r="A274" s="41" t="s">
        <v>661</v>
      </c>
      <c r="B274" s="26">
        <f t="shared" si="4"/>
        <v>6</v>
      </c>
      <c r="C274" s="24" t="s">
        <v>918</v>
      </c>
      <c r="D274" s="24" t="e">
        <v>#N/A</v>
      </c>
      <c r="E274" s="54">
        <v>-71071260</v>
      </c>
    </row>
    <row r="275" spans="1:5" hidden="1" x14ac:dyDescent="0.2">
      <c r="A275" s="41" t="s">
        <v>662</v>
      </c>
      <c r="B275" s="26">
        <f t="shared" si="4"/>
        <v>6</v>
      </c>
      <c r="C275" s="59" t="s">
        <v>938</v>
      </c>
      <c r="D275" s="24" t="e">
        <v>#N/A</v>
      </c>
      <c r="E275" s="54">
        <v>-292286136</v>
      </c>
    </row>
    <row r="276" spans="1:5" hidden="1" x14ac:dyDescent="0.2">
      <c r="A276" s="41" t="s">
        <v>663</v>
      </c>
      <c r="B276" s="26">
        <f t="shared" si="4"/>
        <v>6</v>
      </c>
      <c r="C276" s="56" t="s">
        <v>939</v>
      </c>
      <c r="D276" s="24" t="e">
        <v>#N/A</v>
      </c>
      <c r="E276" s="54">
        <v>2920314061</v>
      </c>
    </row>
    <row r="277" spans="1:5" hidden="1" x14ac:dyDescent="0.2">
      <c r="A277" s="41" t="s">
        <v>665</v>
      </c>
      <c r="B277" s="26">
        <f t="shared" si="4"/>
        <v>6</v>
      </c>
      <c r="C277" s="56" t="s">
        <v>940</v>
      </c>
      <c r="D277" s="24" t="e">
        <v>#N/A</v>
      </c>
      <c r="E277" s="54">
        <v>6616</v>
      </c>
    </row>
    <row r="279" spans="1:5" x14ac:dyDescent="0.2">
      <c r="C279" s="24" t="s">
        <v>1110</v>
      </c>
      <c r="E279" s="263">
        <f>+(E149/E243)</f>
        <v>-1.0276027748311212</v>
      </c>
    </row>
    <row r="280" spans="1:5" x14ac:dyDescent="0.2">
      <c r="E280" s="263">
        <f>100%+E279</f>
        <v>-2.7602774831121168E-2</v>
      </c>
    </row>
    <row r="281" spans="1:5" x14ac:dyDescent="0.2">
      <c r="E281" s="263">
        <f>100%+E280</f>
        <v>0.97239722516887883</v>
      </c>
    </row>
  </sheetData>
  <autoFilter ref="A1:E277" xr:uid="{00000000-0009-0000-0000-000011000000}">
    <filterColumn colId="1">
      <filters>
        <filter val="2"/>
      </filters>
    </filterColumn>
    <sortState xmlns:xlrd2="http://schemas.microsoft.com/office/spreadsheetml/2017/richdata2" ref="A2:E277">
      <sortCondition ref="D1:D277"/>
    </sortState>
  </autoFilter>
  <printOptions horizontalCentered="1" verticalCentered="1"/>
  <pageMargins left="0" right="0" top="0" bottom="0" header="0" footer="0"/>
  <pageSetup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3"/>
  <dimension ref="B1:H367"/>
  <sheetViews>
    <sheetView showGridLines="0" zoomScale="115" zoomScaleNormal="115" workbookViewId="0">
      <pane ySplit="1" topLeftCell="A29" activePane="bottomLeft" state="frozen"/>
      <selection activeCell="P25" sqref="P25"/>
      <selection pane="bottomLeft" activeCell="A2" sqref="A2"/>
    </sheetView>
  </sheetViews>
  <sheetFormatPr baseColWidth="10" defaultColWidth="11.28515625" defaultRowHeight="15" outlineLevelRow="1" x14ac:dyDescent="0.25"/>
  <cols>
    <col min="1" max="1" width="5.7109375" style="71" customWidth="1"/>
    <col min="2" max="2" width="37.7109375" style="71" bestFit="1" customWidth="1"/>
    <col min="3" max="16384" width="11.28515625" style="71"/>
  </cols>
  <sheetData>
    <row r="1" spans="2:6" x14ac:dyDescent="0.25">
      <c r="B1" s="70" t="s">
        <v>989</v>
      </c>
    </row>
    <row r="2" spans="2:6" x14ac:dyDescent="0.25">
      <c r="B2" s="72" t="s">
        <v>941</v>
      </c>
    </row>
    <row r="3" spans="2:6" x14ac:dyDescent="0.25">
      <c r="B3" s="72"/>
    </row>
    <row r="4" spans="2:6" x14ac:dyDescent="0.25">
      <c r="B4" s="73" t="s">
        <v>942</v>
      </c>
      <c r="C4" s="74"/>
      <c r="D4" s="75"/>
      <c r="E4" s="75"/>
      <c r="F4" s="75"/>
    </row>
    <row r="6" spans="2:6" ht="30.75" thickBot="1" x14ac:dyDescent="0.3">
      <c r="B6" s="76" t="s">
        <v>19</v>
      </c>
      <c r="C6" s="61" t="s">
        <v>943</v>
      </c>
      <c r="D6" s="61" t="s">
        <v>944</v>
      </c>
      <c r="E6" s="77"/>
      <c r="F6" s="77"/>
    </row>
    <row r="7" spans="2:6" outlineLevel="1" x14ac:dyDescent="0.25">
      <c r="B7" s="78">
        <v>1928</v>
      </c>
      <c r="C7" s="62">
        <v>0.43811155152887893</v>
      </c>
      <c r="D7" s="62">
        <v>8.354708589799302E-3</v>
      </c>
    </row>
    <row r="8" spans="2:6" outlineLevel="1" x14ac:dyDescent="0.25">
      <c r="B8" s="78">
        <v>1929</v>
      </c>
      <c r="C8" s="62">
        <v>-8.2979466119096595E-2</v>
      </c>
      <c r="D8" s="62">
        <v>4.2038041563204259E-2</v>
      </c>
    </row>
    <row r="9" spans="2:6" outlineLevel="1" x14ac:dyDescent="0.25">
      <c r="B9" s="78">
        <v>1930</v>
      </c>
      <c r="C9" s="62">
        <v>-0.25123636363636365</v>
      </c>
      <c r="D9" s="62">
        <v>4.5409314348970366E-2</v>
      </c>
    </row>
    <row r="10" spans="2:6" outlineLevel="1" x14ac:dyDescent="0.25">
      <c r="B10" s="78">
        <v>1931</v>
      </c>
      <c r="C10" s="62">
        <v>-0.43837548891786188</v>
      </c>
      <c r="D10" s="62">
        <v>-2.5588559619422531E-2</v>
      </c>
    </row>
    <row r="11" spans="2:6" outlineLevel="1" x14ac:dyDescent="0.25">
      <c r="B11" s="78">
        <v>1932</v>
      </c>
      <c r="C11" s="62">
        <v>-8.642364532019696E-2</v>
      </c>
      <c r="D11" s="62">
        <v>8.7903069904773257E-2</v>
      </c>
    </row>
    <row r="12" spans="2:6" outlineLevel="1" x14ac:dyDescent="0.25">
      <c r="B12" s="78">
        <v>1933</v>
      </c>
      <c r="C12" s="62">
        <v>0.49982225433526023</v>
      </c>
      <c r="D12" s="62">
        <v>1.8552720891857361E-2</v>
      </c>
    </row>
    <row r="13" spans="2:6" outlineLevel="1" x14ac:dyDescent="0.25">
      <c r="B13" s="78">
        <v>1934</v>
      </c>
      <c r="C13" s="62">
        <v>-1.1885656970912803E-2</v>
      </c>
      <c r="D13" s="62">
        <v>7.9634426179656104E-2</v>
      </c>
    </row>
    <row r="14" spans="2:6" outlineLevel="1" x14ac:dyDescent="0.25">
      <c r="B14" s="78">
        <v>1935</v>
      </c>
      <c r="C14" s="62">
        <v>0.46740421052631581</v>
      </c>
      <c r="D14" s="62">
        <v>4.4720477296566127E-2</v>
      </c>
    </row>
    <row r="15" spans="2:6" outlineLevel="1" x14ac:dyDescent="0.25">
      <c r="B15" s="78">
        <v>1936</v>
      </c>
      <c r="C15" s="62">
        <v>0.31943410275502609</v>
      </c>
      <c r="D15" s="62">
        <v>5.0178754045450601E-2</v>
      </c>
    </row>
    <row r="16" spans="2:6" outlineLevel="1" x14ac:dyDescent="0.25">
      <c r="B16" s="78">
        <v>1937</v>
      </c>
      <c r="C16" s="62">
        <v>-0.35336728754365537</v>
      </c>
      <c r="D16" s="62">
        <v>1.379146059646038E-2</v>
      </c>
    </row>
    <row r="17" spans="2:4" outlineLevel="1" x14ac:dyDescent="0.25">
      <c r="B17" s="78">
        <v>1938</v>
      </c>
      <c r="C17" s="62">
        <v>0.29282654028436017</v>
      </c>
      <c r="D17" s="62">
        <v>4.2132485322046068E-2</v>
      </c>
    </row>
    <row r="18" spans="2:4" outlineLevel="1" x14ac:dyDescent="0.25">
      <c r="B18" s="78">
        <v>1939</v>
      </c>
      <c r="C18" s="62">
        <v>-1.0975646879756443E-2</v>
      </c>
      <c r="D18" s="62">
        <v>4.4122613942060671E-2</v>
      </c>
    </row>
    <row r="19" spans="2:4" outlineLevel="1" x14ac:dyDescent="0.25">
      <c r="B19" s="78">
        <v>1940</v>
      </c>
      <c r="C19" s="62">
        <v>-0.10672873194221515</v>
      </c>
      <c r="D19" s="62">
        <v>5.4024815962845509E-2</v>
      </c>
    </row>
    <row r="20" spans="2:4" outlineLevel="1" x14ac:dyDescent="0.25">
      <c r="B20" s="78">
        <v>1941</v>
      </c>
      <c r="C20" s="62">
        <v>-0.12771455576559551</v>
      </c>
      <c r="D20" s="62">
        <v>-2.0221975848580105E-2</v>
      </c>
    </row>
    <row r="21" spans="2:4" outlineLevel="1" x14ac:dyDescent="0.25">
      <c r="B21" s="78">
        <v>1942</v>
      </c>
      <c r="C21" s="62">
        <v>0.19173762945914843</v>
      </c>
      <c r="D21" s="62">
        <v>2.2948682374484164E-2</v>
      </c>
    </row>
    <row r="22" spans="2:4" outlineLevel="1" x14ac:dyDescent="0.25">
      <c r="B22" s="78">
        <v>1943</v>
      </c>
      <c r="C22" s="62">
        <v>0.25061310133060394</v>
      </c>
      <c r="D22" s="62">
        <v>2.4899999999999999E-2</v>
      </c>
    </row>
    <row r="23" spans="2:4" outlineLevel="1" x14ac:dyDescent="0.25">
      <c r="B23" s="78">
        <v>1944</v>
      </c>
      <c r="C23" s="62">
        <v>0.19030676949443009</v>
      </c>
      <c r="D23" s="62">
        <v>2.5776111579070303E-2</v>
      </c>
    </row>
    <row r="24" spans="2:4" outlineLevel="1" x14ac:dyDescent="0.25">
      <c r="B24" s="78">
        <v>1945</v>
      </c>
      <c r="C24" s="62">
        <v>0.35821084337349401</v>
      </c>
      <c r="D24" s="62">
        <v>3.8044173419237229E-2</v>
      </c>
    </row>
    <row r="25" spans="2:4" outlineLevel="1" x14ac:dyDescent="0.25">
      <c r="B25" s="78">
        <v>1946</v>
      </c>
      <c r="C25" s="62">
        <v>-8.4291474654377807E-2</v>
      </c>
      <c r="D25" s="62">
        <v>3.1283745375695685E-2</v>
      </c>
    </row>
    <row r="26" spans="2:4" outlineLevel="1" x14ac:dyDescent="0.25">
      <c r="B26" s="78">
        <v>1947</v>
      </c>
      <c r="C26" s="62">
        <v>5.1999999999999998E-2</v>
      </c>
      <c r="D26" s="62">
        <v>9.1969680628322358E-3</v>
      </c>
    </row>
    <row r="27" spans="2:4" outlineLevel="1" x14ac:dyDescent="0.25">
      <c r="B27" s="78">
        <v>1948</v>
      </c>
      <c r="C27" s="62">
        <v>5.7045751633986834E-2</v>
      </c>
      <c r="D27" s="62">
        <v>1.9510369413175046E-2</v>
      </c>
    </row>
    <row r="28" spans="2:4" outlineLevel="1" x14ac:dyDescent="0.25">
      <c r="B28" s="78">
        <v>1949</v>
      </c>
      <c r="C28" s="62">
        <v>0.18303223684210526</v>
      </c>
      <c r="D28" s="62">
        <v>4.6634851827973139E-2</v>
      </c>
    </row>
    <row r="29" spans="2:4" outlineLevel="1" x14ac:dyDescent="0.25">
      <c r="B29" s="78">
        <v>1950</v>
      </c>
      <c r="C29" s="62">
        <v>0.30805539011316263</v>
      </c>
      <c r="D29" s="62">
        <v>4.2959574171096103E-3</v>
      </c>
    </row>
    <row r="30" spans="2:4" outlineLevel="1" x14ac:dyDescent="0.25">
      <c r="B30" s="78">
        <v>1951</v>
      </c>
      <c r="C30" s="62">
        <v>0.23678463044542339</v>
      </c>
      <c r="D30" s="62">
        <v>-2.9531392208319886E-3</v>
      </c>
    </row>
    <row r="31" spans="2:4" outlineLevel="1" x14ac:dyDescent="0.25">
      <c r="B31" s="78">
        <v>1952</v>
      </c>
      <c r="C31" s="62">
        <v>0.18150988641144306</v>
      </c>
      <c r="D31" s="62">
        <v>2.2679961918305656E-2</v>
      </c>
    </row>
    <row r="32" spans="2:4" outlineLevel="1" x14ac:dyDescent="0.25">
      <c r="B32" s="78">
        <v>1953</v>
      </c>
      <c r="C32" s="62">
        <v>-1.2082047421904465E-2</v>
      </c>
      <c r="D32" s="62">
        <v>4.1438402589088513E-2</v>
      </c>
    </row>
    <row r="33" spans="2:4" outlineLevel="1" x14ac:dyDescent="0.25">
      <c r="B33" s="78">
        <v>1954</v>
      </c>
      <c r="C33" s="62">
        <v>0.52563321241434902</v>
      </c>
      <c r="D33" s="62">
        <v>3.2898034558095555E-2</v>
      </c>
    </row>
    <row r="34" spans="2:4" outlineLevel="1" x14ac:dyDescent="0.25">
      <c r="B34" s="78">
        <v>1955</v>
      </c>
      <c r="C34" s="62">
        <v>0.32597331851028349</v>
      </c>
      <c r="D34" s="62">
        <v>-1.3364391288618781E-2</v>
      </c>
    </row>
    <row r="35" spans="2:4" outlineLevel="1" x14ac:dyDescent="0.25">
      <c r="B35" s="78">
        <v>1956</v>
      </c>
      <c r="C35" s="62">
        <v>7.4395118733509347E-2</v>
      </c>
      <c r="D35" s="62">
        <v>-2.2557738173154165E-2</v>
      </c>
    </row>
    <row r="36" spans="2:4" outlineLevel="1" x14ac:dyDescent="0.25">
      <c r="B36" s="78">
        <v>1957</v>
      </c>
      <c r="C36" s="62">
        <v>-0.1045736018855796</v>
      </c>
      <c r="D36" s="62">
        <v>6.7970128466249904E-2</v>
      </c>
    </row>
    <row r="37" spans="2:4" outlineLevel="1" x14ac:dyDescent="0.25">
      <c r="B37" s="78">
        <v>1958</v>
      </c>
      <c r="C37" s="62">
        <v>0.43719954988747184</v>
      </c>
      <c r="D37" s="62">
        <v>-2.0990181755274694E-2</v>
      </c>
    </row>
    <row r="38" spans="2:4" outlineLevel="1" x14ac:dyDescent="0.25">
      <c r="B38" s="78">
        <v>1959</v>
      </c>
      <c r="C38" s="62">
        <v>0.12056457163557326</v>
      </c>
      <c r="D38" s="62">
        <v>-2.6466312591385065E-2</v>
      </c>
    </row>
    <row r="39" spans="2:4" outlineLevel="1" x14ac:dyDescent="0.25">
      <c r="B39" s="78">
        <v>1960</v>
      </c>
      <c r="C39" s="62">
        <v>3.36535314743695E-3</v>
      </c>
      <c r="D39" s="62">
        <v>0.11639503690963365</v>
      </c>
    </row>
    <row r="40" spans="2:4" outlineLevel="1" x14ac:dyDescent="0.25">
      <c r="B40" s="78">
        <v>1961</v>
      </c>
      <c r="C40" s="62">
        <v>0.26637712958182752</v>
      </c>
      <c r="D40" s="62">
        <v>2.0609208076323167E-2</v>
      </c>
    </row>
    <row r="41" spans="2:4" outlineLevel="1" x14ac:dyDescent="0.25">
      <c r="B41" s="78">
        <v>1962</v>
      </c>
      <c r="C41" s="62">
        <v>-8.8114605171208879E-2</v>
      </c>
      <c r="D41" s="62">
        <v>5.693544054008462E-2</v>
      </c>
    </row>
    <row r="42" spans="2:4" outlineLevel="1" x14ac:dyDescent="0.25">
      <c r="B42" s="78">
        <v>1963</v>
      </c>
      <c r="C42" s="62">
        <v>0.22611927099841514</v>
      </c>
      <c r="D42" s="62">
        <v>1.6841620739546127E-2</v>
      </c>
    </row>
    <row r="43" spans="2:4" outlineLevel="1" x14ac:dyDescent="0.25">
      <c r="B43" s="78">
        <v>1964</v>
      </c>
      <c r="C43" s="62">
        <v>0.16415455878432425</v>
      </c>
      <c r="D43" s="62">
        <v>3.7280648911540815E-2</v>
      </c>
    </row>
    <row r="44" spans="2:4" outlineLevel="1" x14ac:dyDescent="0.25">
      <c r="B44" s="78">
        <v>1965</v>
      </c>
      <c r="C44" s="62">
        <v>0.12399242477876114</v>
      </c>
      <c r="D44" s="62">
        <v>7.1885509359262342E-3</v>
      </c>
    </row>
    <row r="45" spans="2:4" outlineLevel="1" x14ac:dyDescent="0.25">
      <c r="B45" s="78">
        <v>1966</v>
      </c>
      <c r="C45" s="62">
        <v>-9.9709542356377898E-2</v>
      </c>
      <c r="D45" s="62">
        <v>2.9079409324299622E-2</v>
      </c>
    </row>
    <row r="46" spans="2:4" outlineLevel="1" x14ac:dyDescent="0.25">
      <c r="B46" s="78">
        <v>1967</v>
      </c>
      <c r="C46" s="62">
        <v>0.23802966513133328</v>
      </c>
      <c r="D46" s="62">
        <v>-1.5806209932824666E-2</v>
      </c>
    </row>
    <row r="47" spans="2:4" outlineLevel="1" x14ac:dyDescent="0.25">
      <c r="B47" s="78">
        <v>1968</v>
      </c>
      <c r="C47" s="62">
        <v>0.10814862651601535</v>
      </c>
      <c r="D47" s="62">
        <v>3.2746196950768365E-2</v>
      </c>
    </row>
    <row r="48" spans="2:4" outlineLevel="1" x14ac:dyDescent="0.25">
      <c r="B48" s="78">
        <v>1969</v>
      </c>
      <c r="C48" s="62">
        <v>-8.2413710764490639E-2</v>
      </c>
      <c r="D48" s="62">
        <v>-5.0140493209926106E-2</v>
      </c>
    </row>
    <row r="49" spans="2:4" outlineLevel="1" x14ac:dyDescent="0.25">
      <c r="B49" s="78">
        <v>1970</v>
      </c>
      <c r="C49" s="62">
        <v>3.5611449054964189E-2</v>
      </c>
      <c r="D49" s="62">
        <v>0.16754737183412338</v>
      </c>
    </row>
    <row r="50" spans="2:4" outlineLevel="1" x14ac:dyDescent="0.25">
      <c r="B50" s="78">
        <v>1971</v>
      </c>
      <c r="C50" s="62">
        <v>0.14221150298426474</v>
      </c>
      <c r="D50" s="62">
        <v>9.7868966197122972E-2</v>
      </c>
    </row>
    <row r="51" spans="2:4" outlineLevel="1" x14ac:dyDescent="0.25">
      <c r="B51" s="78">
        <v>1972</v>
      </c>
      <c r="C51" s="62">
        <v>0.18755362915074925</v>
      </c>
      <c r="D51" s="62">
        <v>2.818449050444969E-2</v>
      </c>
    </row>
    <row r="52" spans="2:4" outlineLevel="1" x14ac:dyDescent="0.25">
      <c r="B52" s="78">
        <v>1973</v>
      </c>
      <c r="C52" s="62">
        <v>-0.14308047437526472</v>
      </c>
      <c r="D52" s="62">
        <v>3.6586646024150085E-2</v>
      </c>
    </row>
    <row r="53" spans="2:4" outlineLevel="1" x14ac:dyDescent="0.25">
      <c r="B53" s="78">
        <v>1974</v>
      </c>
      <c r="C53" s="62">
        <v>-0.25901785750896972</v>
      </c>
      <c r="D53" s="62">
        <v>1.9886086932378574E-2</v>
      </c>
    </row>
    <row r="54" spans="2:4" outlineLevel="1" x14ac:dyDescent="0.25">
      <c r="B54" s="78">
        <v>1975</v>
      </c>
      <c r="C54" s="62">
        <v>0.36995137106184356</v>
      </c>
      <c r="D54" s="62">
        <v>3.6052536026033838E-2</v>
      </c>
    </row>
    <row r="55" spans="2:4" outlineLevel="1" x14ac:dyDescent="0.25">
      <c r="B55" s="78">
        <v>1976</v>
      </c>
      <c r="C55" s="62">
        <v>0.23830999002106662</v>
      </c>
      <c r="D55" s="62">
        <v>0.1598456074290921</v>
      </c>
    </row>
    <row r="56" spans="2:4" outlineLevel="1" x14ac:dyDescent="0.25">
      <c r="B56" s="78">
        <v>1977</v>
      </c>
      <c r="C56" s="62">
        <v>-6.9797040759352322E-2</v>
      </c>
      <c r="D56" s="62">
        <v>1.2899606071070449E-2</v>
      </c>
    </row>
    <row r="57" spans="2:4" outlineLevel="1" x14ac:dyDescent="0.25">
      <c r="B57" s="78">
        <v>1978</v>
      </c>
      <c r="C57" s="62">
        <v>6.50928391167193E-2</v>
      </c>
      <c r="D57" s="62">
        <v>-7.7758069075086478E-3</v>
      </c>
    </row>
    <row r="58" spans="2:4" outlineLevel="1" x14ac:dyDescent="0.25">
      <c r="B58" s="78">
        <v>1979</v>
      </c>
      <c r="C58" s="62">
        <v>0.18519490167516386</v>
      </c>
      <c r="D58" s="62">
        <v>6.7072031247235459E-3</v>
      </c>
    </row>
    <row r="59" spans="2:4" outlineLevel="1" x14ac:dyDescent="0.25">
      <c r="B59" s="78">
        <v>1980</v>
      </c>
      <c r="C59" s="62">
        <v>0.3173524550676301</v>
      </c>
      <c r="D59" s="62">
        <v>-2.989744251999403E-2</v>
      </c>
    </row>
    <row r="60" spans="2:4" outlineLevel="1" x14ac:dyDescent="0.25">
      <c r="B60" s="78">
        <v>1981</v>
      </c>
      <c r="C60" s="62">
        <v>-4.7023902474955762E-2</v>
      </c>
      <c r="D60" s="62">
        <v>8.1992153358923542E-2</v>
      </c>
    </row>
    <row r="61" spans="2:4" outlineLevel="1" x14ac:dyDescent="0.25">
      <c r="B61" s="78">
        <v>1982</v>
      </c>
      <c r="C61" s="62">
        <v>0.20419055079559353</v>
      </c>
      <c r="D61" s="62">
        <v>0.32814549486295586</v>
      </c>
    </row>
    <row r="62" spans="2:4" outlineLevel="1" x14ac:dyDescent="0.25">
      <c r="B62" s="78">
        <v>1983</v>
      </c>
      <c r="C62" s="62">
        <v>0.22337155858930619</v>
      </c>
      <c r="D62" s="62">
        <v>3.2002094451429264E-2</v>
      </c>
    </row>
    <row r="63" spans="2:4" outlineLevel="1" x14ac:dyDescent="0.25">
      <c r="B63" s="78">
        <v>1984</v>
      </c>
      <c r="C63" s="62">
        <v>6.14614199963621E-2</v>
      </c>
      <c r="D63" s="62">
        <v>0.13733364344102345</v>
      </c>
    </row>
    <row r="64" spans="2:4" outlineLevel="1" x14ac:dyDescent="0.25">
      <c r="B64" s="78">
        <v>1985</v>
      </c>
      <c r="C64" s="62">
        <v>0.31235149485768948</v>
      </c>
      <c r="D64" s="62">
        <v>0.2571248821260641</v>
      </c>
    </row>
    <row r="65" spans="2:4" outlineLevel="1" x14ac:dyDescent="0.25">
      <c r="B65" s="78">
        <v>1986</v>
      </c>
      <c r="C65" s="62">
        <v>0.18494578758046187</v>
      </c>
      <c r="D65" s="62">
        <v>0.24284215141767618</v>
      </c>
    </row>
    <row r="66" spans="2:4" outlineLevel="1" x14ac:dyDescent="0.25">
      <c r="B66" s="78">
        <v>1987</v>
      </c>
      <c r="C66" s="62">
        <v>5.8127216418218712E-2</v>
      </c>
      <c r="D66" s="62">
        <v>-4.9605089379262279E-2</v>
      </c>
    </row>
    <row r="67" spans="2:4" outlineLevel="1" x14ac:dyDescent="0.25">
      <c r="B67" s="78">
        <v>1988</v>
      </c>
      <c r="C67" s="62">
        <v>0.16537192812044688</v>
      </c>
      <c r="D67" s="62">
        <v>8.2235958434841674E-2</v>
      </c>
    </row>
    <row r="68" spans="2:4" outlineLevel="1" x14ac:dyDescent="0.25">
      <c r="B68" s="78">
        <v>1989</v>
      </c>
      <c r="C68" s="62">
        <v>0.31475183638196724</v>
      </c>
      <c r="D68" s="62">
        <v>0.17693647159446219</v>
      </c>
    </row>
    <row r="69" spans="2:4" outlineLevel="1" x14ac:dyDescent="0.25">
      <c r="B69" s="78">
        <v>1990</v>
      </c>
      <c r="C69" s="62">
        <v>-3.0644516129032118E-2</v>
      </c>
      <c r="D69" s="62">
        <v>6.2353753335533363E-2</v>
      </c>
    </row>
    <row r="70" spans="2:4" outlineLevel="1" x14ac:dyDescent="0.25">
      <c r="B70" s="78">
        <v>1991</v>
      </c>
      <c r="C70" s="62">
        <v>0.30234843134879757</v>
      </c>
      <c r="D70" s="62">
        <v>0.15004510019517303</v>
      </c>
    </row>
    <row r="71" spans="2:4" outlineLevel="1" x14ac:dyDescent="0.25">
      <c r="B71" s="78">
        <v>1992</v>
      </c>
      <c r="C71" s="62">
        <v>7.493727972380064E-2</v>
      </c>
      <c r="D71" s="62">
        <v>9.3616373162079422E-2</v>
      </c>
    </row>
    <row r="72" spans="2:4" outlineLevel="1" x14ac:dyDescent="0.25">
      <c r="B72" s="78">
        <v>1993</v>
      </c>
      <c r="C72" s="62">
        <v>9.96705147919488E-2</v>
      </c>
      <c r="D72" s="62">
        <v>0.14210957589263107</v>
      </c>
    </row>
    <row r="73" spans="2:4" outlineLevel="1" x14ac:dyDescent="0.25">
      <c r="B73" s="78">
        <v>1994</v>
      </c>
      <c r="C73" s="62">
        <v>1.3259206774573897E-2</v>
      </c>
      <c r="D73" s="62">
        <v>-8.0366555509985921E-2</v>
      </c>
    </row>
    <row r="74" spans="2:4" outlineLevel="1" x14ac:dyDescent="0.25">
      <c r="B74" s="78">
        <v>1995</v>
      </c>
      <c r="C74" s="62">
        <v>0.37195198902606308</v>
      </c>
      <c r="D74" s="62">
        <v>0.23480780112538907</v>
      </c>
    </row>
    <row r="75" spans="2:4" outlineLevel="1" x14ac:dyDescent="0.25">
      <c r="B75" s="78">
        <v>1996</v>
      </c>
      <c r="C75" s="62">
        <v>0.22680966018865789</v>
      </c>
      <c r="D75" s="62">
        <v>1.428607793401844E-2</v>
      </c>
    </row>
    <row r="76" spans="2:4" outlineLevel="1" x14ac:dyDescent="0.25">
      <c r="B76" s="78">
        <v>1997</v>
      </c>
      <c r="C76" s="62">
        <v>0.33103653103653097</v>
      </c>
      <c r="D76" s="62">
        <v>9.939130272977531E-2</v>
      </c>
    </row>
    <row r="77" spans="2:4" outlineLevel="1" x14ac:dyDescent="0.25">
      <c r="B77" s="78">
        <v>1998</v>
      </c>
      <c r="C77" s="62">
        <v>0.28337953278443584</v>
      </c>
      <c r="D77" s="62">
        <v>0.14921431922606215</v>
      </c>
    </row>
    <row r="78" spans="2:4" outlineLevel="1" x14ac:dyDescent="0.25">
      <c r="B78" s="78">
        <v>1999</v>
      </c>
      <c r="C78" s="62">
        <v>0.20885350992084475</v>
      </c>
      <c r="D78" s="62">
        <v>-8.2542147962685761E-2</v>
      </c>
    </row>
    <row r="79" spans="2:4" outlineLevel="1" x14ac:dyDescent="0.25">
      <c r="B79" s="78">
        <v>2000</v>
      </c>
      <c r="C79" s="62">
        <v>-9.0318189552492781E-2</v>
      </c>
      <c r="D79" s="62">
        <v>0.16655267125397488</v>
      </c>
    </row>
    <row r="80" spans="2:4" outlineLevel="1" x14ac:dyDescent="0.25">
      <c r="B80" s="78">
        <v>2001</v>
      </c>
      <c r="C80" s="62">
        <v>-0.11849759142000185</v>
      </c>
      <c r="D80" s="62">
        <v>5.5721811892492555E-2</v>
      </c>
    </row>
    <row r="81" spans="2:4" outlineLevel="1" x14ac:dyDescent="0.25">
      <c r="B81" s="78">
        <v>2002</v>
      </c>
      <c r="C81" s="62">
        <v>-0.21966047957912699</v>
      </c>
      <c r="D81" s="62">
        <v>0.15116400378109285</v>
      </c>
    </row>
    <row r="82" spans="2:4" outlineLevel="1" x14ac:dyDescent="0.25">
      <c r="B82" s="78">
        <v>2003</v>
      </c>
      <c r="C82" s="62">
        <v>0.28355800050010233</v>
      </c>
      <c r="D82" s="62">
        <v>3.7531858817758529E-3</v>
      </c>
    </row>
    <row r="83" spans="2:4" outlineLevel="1" x14ac:dyDescent="0.25">
      <c r="B83" s="78">
        <v>2004</v>
      </c>
      <c r="C83" s="62">
        <v>0.10742775944096193</v>
      </c>
      <c r="D83" s="62">
        <v>4.490683702274547E-2</v>
      </c>
    </row>
    <row r="84" spans="2:4" outlineLevel="1" x14ac:dyDescent="0.25">
      <c r="B84" s="78">
        <v>2005</v>
      </c>
      <c r="C84" s="62">
        <v>4.8344775232688535E-2</v>
      </c>
      <c r="D84" s="62">
        <v>2.8675329597779506E-2</v>
      </c>
    </row>
    <row r="85" spans="2:4" outlineLevel="1" x14ac:dyDescent="0.25">
      <c r="B85" s="78">
        <v>2006</v>
      </c>
      <c r="C85" s="62">
        <v>0.15612557979315703</v>
      </c>
      <c r="D85" s="62">
        <v>1.9610012417568386E-2</v>
      </c>
    </row>
    <row r="86" spans="2:4" outlineLevel="1" x14ac:dyDescent="0.25">
      <c r="B86" s="78">
        <v>2007</v>
      </c>
      <c r="C86" s="62">
        <v>5.4847352464217694E-2</v>
      </c>
      <c r="D86" s="62">
        <v>0.10209921930012807</v>
      </c>
    </row>
    <row r="87" spans="2:4" outlineLevel="1" x14ac:dyDescent="0.25">
      <c r="B87" s="78">
        <v>2008</v>
      </c>
      <c r="C87" s="62">
        <v>-0.36552344111798191</v>
      </c>
      <c r="D87" s="62">
        <v>0.20101279926977011</v>
      </c>
    </row>
    <row r="88" spans="2:4" outlineLevel="1" x14ac:dyDescent="0.25">
      <c r="B88" s="78">
        <v>2009</v>
      </c>
      <c r="C88" s="62">
        <v>0.25935233877663982</v>
      </c>
      <c r="D88" s="62">
        <v>-0.11116695313259162</v>
      </c>
    </row>
    <row r="89" spans="2:4" outlineLevel="1" x14ac:dyDescent="0.25">
      <c r="B89" s="78">
        <v>2010</v>
      </c>
      <c r="C89" s="62">
        <v>0.14821092278719414</v>
      </c>
      <c r="D89" s="62">
        <v>8.4629338803557719E-2</v>
      </c>
    </row>
    <row r="90" spans="2:4" outlineLevel="1" x14ac:dyDescent="0.25">
      <c r="B90" s="78">
        <v>2011</v>
      </c>
      <c r="C90" s="62">
        <v>2.09837473362805E-2</v>
      </c>
      <c r="D90" s="62">
        <v>0.16035334999461354</v>
      </c>
    </row>
    <row r="91" spans="2:4" outlineLevel="1" x14ac:dyDescent="0.25">
      <c r="B91" s="78">
        <v>2012</v>
      </c>
      <c r="C91" s="62">
        <v>0.15890585241730293</v>
      </c>
      <c r="D91" s="62">
        <v>2.971571978018946E-2</v>
      </c>
    </row>
    <row r="92" spans="2:4" outlineLevel="1" x14ac:dyDescent="0.25">
      <c r="B92" s="78">
        <v>2013</v>
      </c>
      <c r="C92" s="62">
        <v>0.32145085858125483</v>
      </c>
      <c r="D92" s="62">
        <v>-9.104568794347262E-2</v>
      </c>
    </row>
    <row r="93" spans="2:4" outlineLevel="1" x14ac:dyDescent="0.25">
      <c r="B93" s="78">
        <v>2014</v>
      </c>
      <c r="C93" s="62">
        <v>0.13524421649462237</v>
      </c>
      <c r="D93" s="62">
        <v>0.10746180452004755</v>
      </c>
    </row>
    <row r="94" spans="2:4" outlineLevel="1" x14ac:dyDescent="0.25">
      <c r="B94" s="78">
        <v>2015</v>
      </c>
      <c r="C94" s="62">
        <v>1.38E-2</v>
      </c>
      <c r="D94" s="62">
        <v>1.2842996709792224E-2</v>
      </c>
    </row>
    <row r="95" spans="2:4" outlineLevel="1" x14ac:dyDescent="0.25">
      <c r="B95" s="78">
        <v>2016</v>
      </c>
      <c r="C95" s="62">
        <v>0.1177</v>
      </c>
      <c r="D95" s="62">
        <v>6.9055046987477921E-3</v>
      </c>
    </row>
    <row r="96" spans="2:4" outlineLevel="1" x14ac:dyDescent="0.25">
      <c r="B96" s="78">
        <v>2017</v>
      </c>
      <c r="C96" s="62">
        <v>0.21640000000000001</v>
      </c>
      <c r="D96" s="62">
        <v>2.8000000000000001E-2</v>
      </c>
    </row>
    <row r="97" spans="2:8" x14ac:dyDescent="0.25">
      <c r="B97" s="79" t="s">
        <v>21</v>
      </c>
      <c r="C97" s="63">
        <f>+AVERAGE(C7:C96)</f>
        <v>0.11529844856309658</v>
      </c>
      <c r="D97" s="63">
        <f>+AVERAGE(D7:D96)</f>
        <v>5.153831061547854E-2</v>
      </c>
    </row>
    <row r="98" spans="2:8" x14ac:dyDescent="0.25">
      <c r="B98" s="80"/>
      <c r="C98" s="64"/>
      <c r="D98" s="64"/>
    </row>
    <row r="99" spans="2:8" x14ac:dyDescent="0.25">
      <c r="B99" s="71" t="s">
        <v>945</v>
      </c>
    </row>
    <row r="101" spans="2:8" x14ac:dyDescent="0.25">
      <c r="B101" s="73" t="s">
        <v>946</v>
      </c>
      <c r="C101" s="74"/>
      <c r="D101" s="75"/>
      <c r="E101" s="75"/>
      <c r="F101" s="75"/>
      <c r="G101" s="75"/>
    </row>
    <row r="103" spans="2:8" ht="30.75" thickBot="1" x14ac:dyDescent="0.3">
      <c r="B103" s="81" t="s">
        <v>947</v>
      </c>
      <c r="C103" s="76" t="s">
        <v>948</v>
      </c>
      <c r="D103" s="76" t="s">
        <v>949</v>
      </c>
      <c r="E103" s="76" t="s">
        <v>950</v>
      </c>
      <c r="F103" s="76" t="s">
        <v>951</v>
      </c>
      <c r="G103" s="76" t="s">
        <v>952</v>
      </c>
    </row>
    <row r="104" spans="2:8" x14ac:dyDescent="0.25">
      <c r="B104" s="82" t="s">
        <v>982</v>
      </c>
      <c r="C104" s="71">
        <v>25</v>
      </c>
      <c r="D104" s="71">
        <v>1.1000000000000001</v>
      </c>
      <c r="E104" s="83">
        <v>0.6</v>
      </c>
      <c r="F104" s="83">
        <v>0.15</v>
      </c>
      <c r="G104" s="71">
        <v>0.7</v>
      </c>
      <c r="H104" s="84"/>
    </row>
    <row r="106" spans="2:8" x14ac:dyDescent="0.25">
      <c r="B106" s="71" t="s">
        <v>953</v>
      </c>
    </row>
    <row r="107" spans="2:8" x14ac:dyDescent="0.25">
      <c r="B107" s="71" t="s">
        <v>954</v>
      </c>
    </row>
    <row r="109" spans="2:8" x14ac:dyDescent="0.25">
      <c r="B109" s="73" t="s">
        <v>955</v>
      </c>
      <c r="C109" s="74"/>
      <c r="D109" s="75"/>
      <c r="E109" s="75"/>
      <c r="F109" s="75"/>
    </row>
    <row r="110" spans="2:8" outlineLevel="1" x14ac:dyDescent="0.25"/>
    <row r="111" spans="2:8" ht="15.75" outlineLevel="1" thickBot="1" x14ac:dyDescent="0.3">
      <c r="B111" s="85" t="s">
        <v>956</v>
      </c>
      <c r="C111" s="86" t="s">
        <v>957</v>
      </c>
      <c r="D111" s="87"/>
    </row>
    <row r="112" spans="2:8" outlineLevel="1" x14ac:dyDescent="0.25">
      <c r="B112" s="88">
        <v>36161</v>
      </c>
      <c r="C112" s="65">
        <v>6.432631578947369E-2</v>
      </c>
      <c r="D112" s="65"/>
    </row>
    <row r="113" spans="2:4" outlineLevel="1" x14ac:dyDescent="0.25">
      <c r="B113" s="88">
        <v>36192</v>
      </c>
      <c r="C113" s="65">
        <v>6.0915789473684215E-2</v>
      </c>
      <c r="D113" s="65"/>
    </row>
    <row r="114" spans="2:4" outlineLevel="1" x14ac:dyDescent="0.25">
      <c r="B114" s="88">
        <v>36220</v>
      </c>
      <c r="C114" s="65">
        <v>5.5925000000000002E-2</v>
      </c>
      <c r="D114" s="65"/>
    </row>
    <row r="115" spans="2:4" outlineLevel="1" x14ac:dyDescent="0.25">
      <c r="B115" s="88">
        <v>36251</v>
      </c>
      <c r="C115" s="65">
        <v>4.7089999999999993E-2</v>
      </c>
      <c r="D115" s="65"/>
    </row>
    <row r="116" spans="2:4" outlineLevel="1" x14ac:dyDescent="0.25">
      <c r="B116" s="88">
        <v>36281</v>
      </c>
      <c r="C116" s="65">
        <v>5.3179999999999998E-2</v>
      </c>
      <c r="D116" s="65"/>
    </row>
    <row r="117" spans="2:4" outlineLevel="1" x14ac:dyDescent="0.25">
      <c r="B117" s="88">
        <v>36312</v>
      </c>
      <c r="C117" s="65">
        <v>6.6585000000000005E-2</v>
      </c>
      <c r="D117" s="65"/>
    </row>
    <row r="118" spans="2:4" outlineLevel="1" x14ac:dyDescent="0.25">
      <c r="B118" s="88">
        <v>36342</v>
      </c>
      <c r="C118" s="65">
        <v>6.8519999999999998E-2</v>
      </c>
      <c r="D118" s="65"/>
    </row>
    <row r="119" spans="2:4" outlineLevel="1" x14ac:dyDescent="0.25">
      <c r="B119" s="88">
        <v>36373</v>
      </c>
      <c r="C119" s="65">
        <v>6.9309999999999997E-2</v>
      </c>
      <c r="D119" s="65"/>
    </row>
    <row r="120" spans="2:4" outlineLevel="1" x14ac:dyDescent="0.25">
      <c r="B120" s="88">
        <v>36404</v>
      </c>
      <c r="C120" s="65">
        <v>6.4659999999999995E-2</v>
      </c>
      <c r="D120" s="65"/>
    </row>
    <row r="121" spans="2:4" outlineLevel="1" x14ac:dyDescent="0.25">
      <c r="B121" s="88">
        <v>36434</v>
      </c>
      <c r="C121" s="65">
        <v>5.7549999999999997E-2</v>
      </c>
      <c r="D121" s="65"/>
    </row>
    <row r="122" spans="2:4" outlineLevel="1" x14ac:dyDescent="0.25">
      <c r="B122" s="88">
        <v>36465</v>
      </c>
      <c r="C122" s="65">
        <v>5.3899999999999997E-2</v>
      </c>
      <c r="D122" s="65"/>
    </row>
    <row r="123" spans="2:4" outlineLevel="1" x14ac:dyDescent="0.25">
      <c r="B123" s="88">
        <v>36495</v>
      </c>
      <c r="C123" s="65">
        <v>4.5589999999999999E-2</v>
      </c>
      <c r="D123" s="65"/>
    </row>
    <row r="124" spans="2:4" outlineLevel="1" x14ac:dyDescent="0.25">
      <c r="B124" s="88">
        <v>36526</v>
      </c>
      <c r="C124" s="65">
        <v>4.4160000000000005E-2</v>
      </c>
      <c r="D124" s="65"/>
    </row>
    <row r="125" spans="2:4" outlineLevel="1" x14ac:dyDescent="0.25">
      <c r="B125" s="88">
        <v>36557</v>
      </c>
      <c r="C125" s="65">
        <v>4.6935000000000004E-2</v>
      </c>
      <c r="D125" s="65"/>
    </row>
    <row r="126" spans="2:4" outlineLevel="1" x14ac:dyDescent="0.25">
      <c r="B126" s="88">
        <v>36586</v>
      </c>
      <c r="C126" s="65">
        <v>5.2229999999999999E-2</v>
      </c>
      <c r="D126" s="65"/>
    </row>
    <row r="127" spans="2:4" outlineLevel="1" x14ac:dyDescent="0.25">
      <c r="B127" s="88">
        <v>36617</v>
      </c>
      <c r="C127" s="65">
        <v>6.4947368421052629E-2</v>
      </c>
      <c r="D127" s="65"/>
    </row>
    <row r="128" spans="2:4" outlineLevel="1" x14ac:dyDescent="0.25">
      <c r="B128" s="88">
        <v>36647</v>
      </c>
      <c r="C128" s="65">
        <v>8.0189999999999997E-2</v>
      </c>
      <c r="D128" s="65"/>
    </row>
    <row r="129" spans="2:4" outlineLevel="1" x14ac:dyDescent="0.25">
      <c r="B129" s="88">
        <v>36678</v>
      </c>
      <c r="C129" s="65">
        <v>7.1845000000000006E-2</v>
      </c>
      <c r="D129" s="65"/>
    </row>
    <row r="130" spans="2:4" outlineLevel="1" x14ac:dyDescent="0.25">
      <c r="B130" s="88">
        <v>36708</v>
      </c>
      <c r="C130" s="65">
        <v>7.0125000000000007E-2</v>
      </c>
      <c r="D130" s="65"/>
    </row>
    <row r="131" spans="2:4" outlineLevel="1" x14ac:dyDescent="0.25">
      <c r="B131" s="88">
        <v>36739</v>
      </c>
      <c r="C131" s="65">
        <v>6.8334999999999993E-2</v>
      </c>
      <c r="D131" s="65"/>
    </row>
    <row r="132" spans="2:4" outlineLevel="1" x14ac:dyDescent="0.25">
      <c r="B132" s="88">
        <v>36770</v>
      </c>
      <c r="C132" s="65">
        <v>7.183500000000001E-2</v>
      </c>
      <c r="D132" s="65"/>
    </row>
    <row r="133" spans="2:4" outlineLevel="1" x14ac:dyDescent="0.25">
      <c r="B133" s="88">
        <v>36800</v>
      </c>
      <c r="C133" s="65">
        <v>7.563809523809524E-2</v>
      </c>
      <c r="D133" s="65"/>
    </row>
    <row r="134" spans="2:4" outlineLevel="1" x14ac:dyDescent="0.25">
      <c r="B134" s="88">
        <v>36831</v>
      </c>
      <c r="C134" s="65">
        <v>7.9438095238095238E-2</v>
      </c>
      <c r="D134" s="65"/>
    </row>
    <row r="135" spans="2:4" outlineLevel="1" x14ac:dyDescent="0.25">
      <c r="B135" s="88">
        <v>36861</v>
      </c>
      <c r="C135" s="65">
        <v>7.6660000000000006E-2</v>
      </c>
      <c r="D135" s="65"/>
    </row>
    <row r="136" spans="2:4" outlineLevel="1" x14ac:dyDescent="0.25">
      <c r="B136" s="88">
        <v>36892</v>
      </c>
      <c r="C136" s="65">
        <v>7.2647619047619044E-2</v>
      </c>
      <c r="D136" s="65"/>
    </row>
    <row r="137" spans="2:4" outlineLevel="1" x14ac:dyDescent="0.25">
      <c r="B137" s="88">
        <v>36923</v>
      </c>
      <c r="C137" s="65">
        <v>6.4310526315789471E-2</v>
      </c>
      <c r="D137" s="65"/>
    </row>
    <row r="138" spans="2:4" outlineLevel="1" x14ac:dyDescent="0.25">
      <c r="B138" s="88">
        <v>36951</v>
      </c>
      <c r="C138" s="65">
        <v>6.2950000000000006E-2</v>
      </c>
      <c r="D138" s="65"/>
    </row>
    <row r="139" spans="2:4" outlineLevel="1" x14ac:dyDescent="0.25">
      <c r="B139" s="88">
        <v>36982</v>
      </c>
      <c r="C139" s="65">
        <v>6.2935000000000005E-2</v>
      </c>
      <c r="D139" s="65"/>
    </row>
    <row r="140" spans="2:4" outlineLevel="1" x14ac:dyDescent="0.25">
      <c r="B140" s="88">
        <v>37012</v>
      </c>
      <c r="C140" s="65">
        <v>5.964545454545455E-2</v>
      </c>
      <c r="D140" s="65"/>
    </row>
    <row r="141" spans="2:4" outlineLevel="1" x14ac:dyDescent="0.25">
      <c r="B141" s="88">
        <v>37043</v>
      </c>
      <c r="C141" s="65">
        <v>5.7561904761904759E-2</v>
      </c>
      <c r="D141" s="65"/>
    </row>
    <row r="142" spans="2:4" outlineLevel="1" x14ac:dyDescent="0.25">
      <c r="B142" s="88">
        <v>37073</v>
      </c>
      <c r="C142" s="65">
        <v>5.6295238095238093E-2</v>
      </c>
      <c r="D142" s="65"/>
    </row>
    <row r="143" spans="2:4" outlineLevel="1" x14ac:dyDescent="0.25">
      <c r="B143" s="88">
        <v>37104</v>
      </c>
      <c r="C143" s="65">
        <v>5.3386956521739123E-2</v>
      </c>
      <c r="D143" s="65"/>
    </row>
    <row r="144" spans="2:4" outlineLevel="1" x14ac:dyDescent="0.25">
      <c r="B144" s="88">
        <v>37135</v>
      </c>
      <c r="C144" s="65">
        <v>5.8664705882352938E-2</v>
      </c>
      <c r="D144" s="65"/>
    </row>
    <row r="145" spans="2:4" outlineLevel="1" x14ac:dyDescent="0.25">
      <c r="B145" s="88">
        <v>37165</v>
      </c>
      <c r="C145" s="65">
        <v>5.9768181818181818E-2</v>
      </c>
      <c r="D145" s="65"/>
    </row>
    <row r="146" spans="2:4" outlineLevel="1" x14ac:dyDescent="0.25">
      <c r="B146" s="88">
        <v>37196</v>
      </c>
      <c r="C146" s="65">
        <v>5.5764999999999995E-2</v>
      </c>
      <c r="D146" s="65"/>
    </row>
    <row r="147" spans="2:4" outlineLevel="1" x14ac:dyDescent="0.25">
      <c r="B147" s="88">
        <v>37226</v>
      </c>
      <c r="C147" s="65">
        <v>5.3099999999999994E-2</v>
      </c>
      <c r="D147" s="65"/>
    </row>
    <row r="148" spans="2:4" outlineLevel="1" x14ac:dyDescent="0.25">
      <c r="B148" s="88">
        <v>37257</v>
      </c>
      <c r="C148" s="65">
        <v>5.4061904761904762E-2</v>
      </c>
      <c r="D148" s="65"/>
    </row>
    <row r="149" spans="2:4" outlineLevel="1" x14ac:dyDescent="0.25">
      <c r="B149" s="88">
        <v>37288</v>
      </c>
      <c r="C149" s="65">
        <v>5.8247368421052631E-2</v>
      </c>
      <c r="D149" s="65"/>
    </row>
    <row r="150" spans="2:4" outlineLevel="1" x14ac:dyDescent="0.25">
      <c r="B150" s="88">
        <v>37316</v>
      </c>
      <c r="C150" s="65">
        <v>5.398E-2</v>
      </c>
      <c r="D150" s="65"/>
    </row>
    <row r="151" spans="2:4" outlineLevel="1" x14ac:dyDescent="0.25">
      <c r="B151" s="88">
        <v>37347</v>
      </c>
      <c r="C151" s="65">
        <v>5.4431818181818185E-2</v>
      </c>
      <c r="D151" s="65"/>
    </row>
    <row r="152" spans="2:4" outlineLevel="1" x14ac:dyDescent="0.25">
      <c r="B152" s="88">
        <v>37377</v>
      </c>
      <c r="C152" s="65">
        <v>5.4540909090909091E-2</v>
      </c>
      <c r="D152" s="65"/>
    </row>
    <row r="153" spans="2:4" outlineLevel="1" x14ac:dyDescent="0.25">
      <c r="B153" s="88">
        <v>37408</v>
      </c>
      <c r="C153" s="65">
        <v>5.7220000000000007E-2</v>
      </c>
      <c r="D153" s="65"/>
    </row>
    <row r="154" spans="2:4" outlineLevel="1" x14ac:dyDescent="0.25">
      <c r="B154" s="88">
        <v>37438</v>
      </c>
      <c r="C154" s="65">
        <v>6.8954545454545449E-2</v>
      </c>
      <c r="D154" s="65"/>
    </row>
    <row r="155" spans="2:4" outlineLevel="1" x14ac:dyDescent="0.25">
      <c r="B155" s="88">
        <v>37469</v>
      </c>
      <c r="C155" s="65">
        <v>8.7431818181818194E-2</v>
      </c>
      <c r="D155" s="65"/>
    </row>
    <row r="156" spans="2:4" outlineLevel="1" x14ac:dyDescent="0.25">
      <c r="B156" s="88">
        <v>37500</v>
      </c>
      <c r="C156" s="65">
        <v>9.8595000000000002E-2</v>
      </c>
      <c r="D156" s="65"/>
    </row>
    <row r="157" spans="2:4" outlineLevel="1" x14ac:dyDescent="0.25">
      <c r="B157" s="88">
        <v>37530</v>
      </c>
      <c r="C157" s="65">
        <v>9.4059090909090912E-2</v>
      </c>
      <c r="D157" s="65"/>
    </row>
    <row r="158" spans="2:4" outlineLevel="1" x14ac:dyDescent="0.25">
      <c r="B158" s="88">
        <v>37561</v>
      </c>
      <c r="C158" s="65">
        <v>7.4626315789473693E-2</v>
      </c>
      <c r="D158" s="65"/>
    </row>
    <row r="159" spans="2:4" outlineLevel="1" x14ac:dyDescent="0.25">
      <c r="B159" s="88">
        <v>37591</v>
      </c>
      <c r="C159" s="65">
        <v>6.533333333333334E-2</v>
      </c>
      <c r="D159" s="65"/>
    </row>
    <row r="160" spans="2:4" outlineLevel="1" x14ac:dyDescent="0.25">
      <c r="B160" s="88">
        <v>37622</v>
      </c>
      <c r="C160" s="65">
        <v>6.3030000000000003E-2</v>
      </c>
      <c r="D160" s="65"/>
    </row>
    <row r="161" spans="2:4" outlineLevel="1" x14ac:dyDescent="0.25">
      <c r="B161" s="88">
        <v>37653</v>
      </c>
      <c r="C161" s="65">
        <v>6.8315789473684205E-2</v>
      </c>
      <c r="D161" s="65"/>
    </row>
    <row r="162" spans="2:4" outlineLevel="1" x14ac:dyDescent="0.25">
      <c r="B162" s="88">
        <v>37681</v>
      </c>
      <c r="C162" s="65">
        <v>6.2971428571428567E-2</v>
      </c>
      <c r="D162" s="65"/>
    </row>
    <row r="163" spans="2:4" outlineLevel="1" x14ac:dyDescent="0.25">
      <c r="B163" s="88">
        <v>37712</v>
      </c>
      <c r="C163" s="65">
        <v>5.3004761904761902E-2</v>
      </c>
      <c r="D163" s="65"/>
    </row>
    <row r="164" spans="2:4" outlineLevel="1" x14ac:dyDescent="0.25">
      <c r="B164" s="88">
        <v>37742</v>
      </c>
      <c r="C164" s="65">
        <v>4.6885000000000003E-2</v>
      </c>
      <c r="D164" s="65"/>
    </row>
    <row r="165" spans="2:4" outlineLevel="1" x14ac:dyDescent="0.25">
      <c r="B165" s="88">
        <v>37773</v>
      </c>
      <c r="C165" s="65">
        <v>4.5780952380952381E-2</v>
      </c>
      <c r="D165" s="65"/>
    </row>
    <row r="166" spans="2:4" outlineLevel="1" x14ac:dyDescent="0.25">
      <c r="B166" s="88">
        <v>37803</v>
      </c>
      <c r="C166" s="65">
        <v>4.6209090909090908E-2</v>
      </c>
      <c r="D166" s="65"/>
    </row>
    <row r="167" spans="2:4" outlineLevel="1" x14ac:dyDescent="0.25">
      <c r="B167" s="88">
        <v>37834</v>
      </c>
      <c r="C167" s="65">
        <v>4.5114999999999995E-2</v>
      </c>
      <c r="D167" s="65"/>
    </row>
    <row r="168" spans="2:4" outlineLevel="1" x14ac:dyDescent="0.25">
      <c r="B168" s="88">
        <v>37865</v>
      </c>
      <c r="C168" s="65">
        <v>4.2857142857142858E-2</v>
      </c>
      <c r="D168" s="65"/>
    </row>
    <row r="169" spans="2:4" outlineLevel="1" x14ac:dyDescent="0.25">
      <c r="B169" s="88">
        <v>37895</v>
      </c>
      <c r="C169" s="65">
        <v>4.4659090909090905E-2</v>
      </c>
      <c r="D169" s="65"/>
    </row>
    <row r="170" spans="2:4" outlineLevel="1" x14ac:dyDescent="0.25">
      <c r="B170" s="88">
        <v>37926</v>
      </c>
      <c r="C170" s="65">
        <v>4.6870588235294115E-2</v>
      </c>
      <c r="D170" s="65"/>
    </row>
    <row r="171" spans="2:4" outlineLevel="1" x14ac:dyDescent="0.25">
      <c r="B171" s="88">
        <v>37956</v>
      </c>
      <c r="C171" s="65">
        <v>4.3909090909090905E-2</v>
      </c>
      <c r="D171" s="65"/>
    </row>
    <row r="172" spans="2:4" outlineLevel="1" x14ac:dyDescent="0.25">
      <c r="B172" s="88">
        <v>37987</v>
      </c>
      <c r="C172" s="65">
        <v>3.8657894736842106E-2</v>
      </c>
      <c r="D172" s="65"/>
    </row>
    <row r="173" spans="2:4" outlineLevel="1" x14ac:dyDescent="0.25">
      <c r="B173" s="88">
        <v>38018</v>
      </c>
      <c r="C173" s="65">
        <v>4.3347368421052634E-2</v>
      </c>
      <c r="D173" s="65"/>
    </row>
    <row r="174" spans="2:4" outlineLevel="1" x14ac:dyDescent="0.25">
      <c r="B174" s="88">
        <v>38047</v>
      </c>
      <c r="C174" s="65">
        <v>4.0168181818181818E-2</v>
      </c>
      <c r="D174" s="65"/>
    </row>
    <row r="175" spans="2:4" outlineLevel="1" x14ac:dyDescent="0.25">
      <c r="B175" s="88">
        <v>38078</v>
      </c>
      <c r="C175" s="65">
        <v>3.7985714285714282E-2</v>
      </c>
      <c r="D175" s="65"/>
    </row>
    <row r="176" spans="2:4" outlineLevel="1" x14ac:dyDescent="0.25">
      <c r="B176" s="88">
        <v>38108</v>
      </c>
      <c r="C176" s="65">
        <v>5.2925000000000007E-2</v>
      </c>
      <c r="D176" s="65"/>
    </row>
    <row r="177" spans="2:4" outlineLevel="1" x14ac:dyDescent="0.25">
      <c r="B177" s="88">
        <v>38139</v>
      </c>
      <c r="C177" s="65">
        <v>4.8649999999999999E-2</v>
      </c>
      <c r="D177" s="65"/>
    </row>
    <row r="178" spans="2:4" outlineLevel="1" x14ac:dyDescent="0.25">
      <c r="B178" s="88">
        <v>38169</v>
      </c>
      <c r="C178" s="65">
        <v>4.5428571428571429E-2</v>
      </c>
      <c r="D178" s="65"/>
    </row>
    <row r="179" spans="2:4" outlineLevel="1" x14ac:dyDescent="0.25">
      <c r="B179" s="88">
        <v>38200</v>
      </c>
      <c r="C179" s="65">
        <v>4.236363636363636E-2</v>
      </c>
      <c r="D179" s="65"/>
    </row>
    <row r="180" spans="2:4" outlineLevel="1" x14ac:dyDescent="0.25">
      <c r="B180" s="88">
        <v>38231</v>
      </c>
      <c r="C180" s="65">
        <v>3.9814285714285719E-2</v>
      </c>
      <c r="D180" s="65"/>
    </row>
    <row r="181" spans="2:4" outlineLevel="1" x14ac:dyDescent="0.25">
      <c r="B181" s="88">
        <v>38261</v>
      </c>
      <c r="C181" s="65">
        <v>4.0055000000000007E-2</v>
      </c>
      <c r="D181" s="65"/>
    </row>
    <row r="182" spans="2:4" outlineLevel="1" x14ac:dyDescent="0.25">
      <c r="B182" s="88">
        <v>38292</v>
      </c>
      <c r="C182" s="65">
        <v>3.6089999999999997E-2</v>
      </c>
      <c r="D182" s="65"/>
    </row>
    <row r="183" spans="2:4" outlineLevel="1" x14ac:dyDescent="0.25">
      <c r="B183" s="88">
        <v>38322</v>
      </c>
      <c r="C183" s="65">
        <v>3.4663636363636362E-2</v>
      </c>
      <c r="D183" s="65"/>
    </row>
    <row r="184" spans="2:4" outlineLevel="1" x14ac:dyDescent="0.25">
      <c r="B184" s="88">
        <v>38353</v>
      </c>
      <c r="C184" s="65">
        <v>3.5885E-2</v>
      </c>
      <c r="D184" s="65"/>
    </row>
    <row r="185" spans="2:4" outlineLevel="1" x14ac:dyDescent="0.25">
      <c r="B185" s="88">
        <v>38384</v>
      </c>
      <c r="C185" s="65">
        <v>3.5794736842105268E-2</v>
      </c>
      <c r="D185" s="65"/>
    </row>
    <row r="186" spans="2:4" outlineLevel="1" x14ac:dyDescent="0.25">
      <c r="B186" s="88">
        <v>38412</v>
      </c>
      <c r="C186" s="65">
        <v>3.7100000000000001E-2</v>
      </c>
      <c r="D186" s="65"/>
    </row>
    <row r="187" spans="2:4" outlineLevel="1" x14ac:dyDescent="0.25">
      <c r="B187" s="88">
        <v>38443</v>
      </c>
      <c r="C187" s="65">
        <v>4.0985714285714285E-2</v>
      </c>
      <c r="D187" s="65"/>
    </row>
    <row r="188" spans="2:4" outlineLevel="1" x14ac:dyDescent="0.25">
      <c r="B188" s="88">
        <v>38473</v>
      </c>
      <c r="C188" s="65">
        <v>3.7576190476190471E-2</v>
      </c>
      <c r="D188" s="65"/>
    </row>
    <row r="189" spans="2:4" outlineLevel="1" x14ac:dyDescent="0.25">
      <c r="B189" s="88">
        <v>38504</v>
      </c>
      <c r="C189" s="65">
        <v>3.3936363636363633E-2</v>
      </c>
      <c r="D189" s="65"/>
    </row>
    <row r="190" spans="2:4" outlineLevel="1" x14ac:dyDescent="0.25">
      <c r="B190" s="88">
        <v>38534</v>
      </c>
      <c r="C190" s="65">
        <v>3.2219999999999999E-2</v>
      </c>
      <c r="D190" s="65"/>
    </row>
    <row r="191" spans="2:4" outlineLevel="1" x14ac:dyDescent="0.25">
      <c r="B191" s="88">
        <v>38565</v>
      </c>
      <c r="C191" s="65">
        <v>3.0447826086956519E-2</v>
      </c>
      <c r="D191" s="65"/>
    </row>
    <row r="192" spans="2:4" outlineLevel="1" x14ac:dyDescent="0.25">
      <c r="B192" s="88">
        <v>38596</v>
      </c>
      <c r="C192" s="65">
        <v>2.6123809523809521E-2</v>
      </c>
      <c r="D192" s="65"/>
    </row>
    <row r="193" spans="2:4" outlineLevel="1" x14ac:dyDescent="0.25">
      <c r="B193" s="88">
        <v>38626</v>
      </c>
      <c r="C193" s="65">
        <v>2.7764999999999998E-2</v>
      </c>
      <c r="D193" s="65"/>
    </row>
    <row r="194" spans="2:4" outlineLevel="1" x14ac:dyDescent="0.25">
      <c r="B194" s="88">
        <v>38657</v>
      </c>
      <c r="C194" s="65">
        <v>2.5344999999999999E-2</v>
      </c>
      <c r="D194" s="65"/>
    </row>
    <row r="195" spans="2:4" outlineLevel="1" x14ac:dyDescent="0.25">
      <c r="B195" s="88">
        <v>38687</v>
      </c>
      <c r="C195" s="65">
        <v>2.2599999999999999E-2</v>
      </c>
      <c r="D195" s="65"/>
    </row>
    <row r="196" spans="2:4" outlineLevel="1" x14ac:dyDescent="0.25">
      <c r="B196" s="88">
        <v>38718</v>
      </c>
      <c r="C196" s="65">
        <v>2.1269999999999997E-2</v>
      </c>
      <c r="D196" s="65"/>
    </row>
    <row r="197" spans="2:4" outlineLevel="1" x14ac:dyDescent="0.25">
      <c r="B197" s="88">
        <v>38749</v>
      </c>
      <c r="C197" s="65">
        <v>1.7410526315789474E-2</v>
      </c>
      <c r="D197" s="65"/>
    </row>
    <row r="198" spans="2:4" outlineLevel="1" x14ac:dyDescent="0.25">
      <c r="B198" s="88">
        <v>38777</v>
      </c>
      <c r="C198" s="65">
        <v>1.6756521739130434E-2</v>
      </c>
      <c r="D198" s="65"/>
    </row>
    <row r="199" spans="2:4" outlineLevel="1" x14ac:dyDescent="0.25">
      <c r="B199" s="88">
        <v>38808</v>
      </c>
      <c r="C199" s="65">
        <v>1.7299999999999999E-2</v>
      </c>
      <c r="D199" s="65"/>
    </row>
    <row r="200" spans="2:4" outlineLevel="1" x14ac:dyDescent="0.25">
      <c r="B200" s="88">
        <v>38838</v>
      </c>
      <c r="C200" s="65">
        <v>1.8777272727272729E-2</v>
      </c>
      <c r="D200" s="65"/>
    </row>
    <row r="201" spans="2:4" outlineLevel="1" x14ac:dyDescent="0.25">
      <c r="B201" s="88">
        <v>38869</v>
      </c>
      <c r="C201" s="65">
        <v>2.313181818181818E-2</v>
      </c>
      <c r="D201" s="65"/>
    </row>
    <row r="202" spans="2:4" outlineLevel="1" x14ac:dyDescent="0.25">
      <c r="B202" s="88">
        <v>38899</v>
      </c>
      <c r="C202" s="65">
        <v>2.2804999999999999E-2</v>
      </c>
      <c r="D202" s="65"/>
    </row>
    <row r="203" spans="2:4" outlineLevel="1" x14ac:dyDescent="0.25">
      <c r="B203" s="88">
        <v>38930</v>
      </c>
      <c r="C203" s="65">
        <v>1.9599999999999999E-2</v>
      </c>
      <c r="D203" s="65"/>
    </row>
    <row r="204" spans="2:4" outlineLevel="1" x14ac:dyDescent="0.25">
      <c r="B204" s="88">
        <v>38961</v>
      </c>
      <c r="C204" s="65">
        <v>2.0644999999999997E-2</v>
      </c>
      <c r="D204" s="65"/>
    </row>
    <row r="205" spans="2:4" outlineLevel="1" x14ac:dyDescent="0.25">
      <c r="B205" s="88">
        <v>38991</v>
      </c>
      <c r="C205" s="65">
        <v>1.8071428571428572E-2</v>
      </c>
      <c r="D205" s="65"/>
    </row>
    <row r="206" spans="2:4" outlineLevel="1" x14ac:dyDescent="0.25">
      <c r="B206" s="88">
        <v>39022</v>
      </c>
      <c r="C206" s="65">
        <v>1.894285714285714E-2</v>
      </c>
      <c r="D206" s="65"/>
    </row>
    <row r="207" spans="2:4" outlineLevel="1" x14ac:dyDescent="0.25">
      <c r="B207" s="88">
        <v>39052</v>
      </c>
      <c r="C207" s="65">
        <v>1.8175E-2</v>
      </c>
      <c r="D207" s="65"/>
    </row>
    <row r="208" spans="2:4" outlineLevel="1" x14ac:dyDescent="0.25">
      <c r="B208" s="88">
        <v>39083</v>
      </c>
      <c r="C208" s="65">
        <v>1.6500000000000001E-2</v>
      </c>
      <c r="D208" s="65"/>
    </row>
    <row r="209" spans="2:4" outlineLevel="1" x14ac:dyDescent="0.25">
      <c r="B209" s="88">
        <v>39114</v>
      </c>
      <c r="C209" s="65">
        <v>1.6326315789473685E-2</v>
      </c>
      <c r="D209" s="65"/>
    </row>
    <row r="210" spans="2:4" outlineLevel="1" x14ac:dyDescent="0.25">
      <c r="B210" s="88">
        <v>39142</v>
      </c>
      <c r="C210" s="65">
        <v>1.7109090909090911E-2</v>
      </c>
      <c r="D210" s="65"/>
    </row>
    <row r="211" spans="2:4" outlineLevel="1" x14ac:dyDescent="0.25">
      <c r="B211" s="88">
        <v>39173</v>
      </c>
      <c r="C211" s="65">
        <v>1.423E-2</v>
      </c>
      <c r="D211" s="65"/>
    </row>
    <row r="212" spans="2:4" outlineLevel="1" x14ac:dyDescent="0.25">
      <c r="B212" s="88">
        <v>39203</v>
      </c>
      <c r="C212" s="65">
        <v>1.3054545454545454E-2</v>
      </c>
      <c r="D212" s="65"/>
    </row>
    <row r="213" spans="2:4" outlineLevel="1" x14ac:dyDescent="0.25">
      <c r="B213" s="88">
        <v>39234</v>
      </c>
      <c r="C213" s="65">
        <v>1.0838095238095237E-2</v>
      </c>
      <c r="D213" s="65"/>
    </row>
    <row r="214" spans="2:4" outlineLevel="1" x14ac:dyDescent="0.25">
      <c r="B214" s="88">
        <v>39264</v>
      </c>
      <c r="C214" s="65">
        <v>1.3604761904761904E-2</v>
      </c>
      <c r="D214" s="65"/>
    </row>
    <row r="215" spans="2:4" outlineLevel="1" x14ac:dyDescent="0.25">
      <c r="B215" s="88">
        <v>39295</v>
      </c>
      <c r="C215" s="65">
        <v>1.8643478260869567E-2</v>
      </c>
      <c r="D215" s="65"/>
    </row>
    <row r="216" spans="2:4" outlineLevel="1" x14ac:dyDescent="0.25">
      <c r="B216" s="88">
        <v>39326</v>
      </c>
      <c r="C216" s="65">
        <v>3.5947368421052631E-2</v>
      </c>
      <c r="D216" s="65"/>
    </row>
    <row r="217" spans="2:4" outlineLevel="1" x14ac:dyDescent="0.25">
      <c r="B217" s="88">
        <v>39356</v>
      </c>
      <c r="C217" s="65">
        <v>1.6068181818181818E-2</v>
      </c>
      <c r="D217" s="65"/>
    </row>
    <row r="218" spans="2:4" outlineLevel="1" x14ac:dyDescent="0.25">
      <c r="B218" s="88">
        <v>39387</v>
      </c>
      <c r="C218" s="65">
        <v>1.9619999999999999E-2</v>
      </c>
      <c r="D218" s="65"/>
    </row>
    <row r="219" spans="2:4" outlineLevel="1" x14ac:dyDescent="0.25">
      <c r="B219" s="88">
        <v>39417</v>
      </c>
      <c r="C219" s="65">
        <v>1.8814999999999998E-2</v>
      </c>
      <c r="D219" s="65"/>
    </row>
    <row r="220" spans="2:4" outlineLevel="1" x14ac:dyDescent="0.25">
      <c r="B220" s="88">
        <v>39448</v>
      </c>
      <c r="C220" s="65">
        <v>2.4076190476190477E-2</v>
      </c>
      <c r="D220" s="65"/>
    </row>
    <row r="221" spans="2:4" outlineLevel="1" x14ac:dyDescent="0.25">
      <c r="B221" s="88">
        <v>39479</v>
      </c>
      <c r="C221" s="65">
        <v>2.4940000000000004E-2</v>
      </c>
      <c r="D221" s="65"/>
    </row>
    <row r="222" spans="2:4" outlineLevel="1" x14ac:dyDescent="0.25">
      <c r="B222" s="88">
        <v>39508</v>
      </c>
      <c r="C222" s="65">
        <v>2.6305000000000002E-2</v>
      </c>
      <c r="D222" s="65"/>
    </row>
    <row r="223" spans="2:4" outlineLevel="1" x14ac:dyDescent="0.25">
      <c r="B223" s="88">
        <v>39539</v>
      </c>
      <c r="C223" s="65">
        <v>2.1577272727272726E-2</v>
      </c>
      <c r="D223" s="65"/>
    </row>
    <row r="224" spans="2:4" outlineLevel="1" x14ac:dyDescent="0.25">
      <c r="B224" s="88">
        <v>39569</v>
      </c>
      <c r="C224" s="65">
        <v>1.7909523809523809E-2</v>
      </c>
      <c r="D224" s="65"/>
    </row>
    <row r="225" spans="2:4" outlineLevel="1" x14ac:dyDescent="0.25">
      <c r="B225" s="88">
        <v>39600</v>
      </c>
      <c r="C225" s="65">
        <v>1.8061904761904762E-2</v>
      </c>
      <c r="D225" s="65"/>
    </row>
    <row r="226" spans="2:4" outlineLevel="1" x14ac:dyDescent="0.25">
      <c r="B226" s="88">
        <v>39630</v>
      </c>
      <c r="C226" s="65">
        <v>2.1727272727272727E-2</v>
      </c>
      <c r="D226" s="65"/>
    </row>
    <row r="227" spans="2:4" outlineLevel="1" x14ac:dyDescent="0.25">
      <c r="B227" s="88">
        <v>39661</v>
      </c>
      <c r="C227" s="65">
        <v>2.2195238095238094E-2</v>
      </c>
      <c r="D227" s="65"/>
    </row>
    <row r="228" spans="2:4" outlineLevel="1" x14ac:dyDescent="0.25">
      <c r="B228" s="88">
        <v>39692</v>
      </c>
      <c r="C228" s="65">
        <v>2.7271428571428571E-2</v>
      </c>
      <c r="D228" s="65"/>
    </row>
    <row r="229" spans="2:4" outlineLevel="1" x14ac:dyDescent="0.25">
      <c r="B229" s="88">
        <v>39722</v>
      </c>
      <c r="C229" s="65">
        <v>5.33E-2</v>
      </c>
      <c r="D229" s="65"/>
    </row>
    <row r="230" spans="2:4" outlineLevel="1" x14ac:dyDescent="0.25">
      <c r="B230" s="88">
        <v>39753</v>
      </c>
      <c r="C230" s="65">
        <v>5.5111111111111111E-2</v>
      </c>
      <c r="D230" s="65"/>
    </row>
    <row r="231" spans="2:4" outlineLevel="1" x14ac:dyDescent="0.25">
      <c r="B231" s="88">
        <v>39783</v>
      </c>
      <c r="C231" s="65">
        <v>5.3804545454545452E-2</v>
      </c>
      <c r="D231" s="65"/>
    </row>
    <row r="232" spans="2:4" outlineLevel="1" x14ac:dyDescent="0.25">
      <c r="B232" s="88">
        <v>39814</v>
      </c>
      <c r="C232" s="65">
        <v>5.0229999999999997E-2</v>
      </c>
      <c r="D232" s="65"/>
    </row>
    <row r="233" spans="2:4" outlineLevel="1" x14ac:dyDescent="0.25">
      <c r="B233" s="88">
        <v>39845</v>
      </c>
      <c r="C233" s="65">
        <v>4.7778947368421053E-2</v>
      </c>
      <c r="D233" s="65"/>
    </row>
    <row r="234" spans="2:4" outlineLevel="1" x14ac:dyDescent="0.25">
      <c r="B234" s="88">
        <v>39873</v>
      </c>
      <c r="C234" s="65">
        <v>4.8340909090909087E-2</v>
      </c>
      <c r="D234" s="65"/>
    </row>
    <row r="235" spans="2:4" outlineLevel="1" x14ac:dyDescent="0.25">
      <c r="B235" s="88">
        <v>39904</v>
      </c>
      <c r="C235" s="65">
        <v>4.1723809523809524E-2</v>
      </c>
      <c r="D235" s="65"/>
    </row>
    <row r="236" spans="2:4" outlineLevel="1" x14ac:dyDescent="0.25">
      <c r="B236" s="88">
        <v>39934</v>
      </c>
      <c r="C236" s="66"/>
      <c r="D236" s="65"/>
    </row>
    <row r="237" spans="2:4" outlineLevel="1" x14ac:dyDescent="0.25">
      <c r="B237" s="88">
        <v>39965</v>
      </c>
      <c r="C237" s="65">
        <v>2.9754545454545457E-2</v>
      </c>
      <c r="D237" s="65"/>
    </row>
    <row r="238" spans="2:4" outlineLevel="1" x14ac:dyDescent="0.25">
      <c r="B238" s="88">
        <v>39995</v>
      </c>
      <c r="C238" s="65">
        <v>2.9727272727272727E-2</v>
      </c>
      <c r="D238" s="65"/>
    </row>
    <row r="239" spans="2:4" outlineLevel="1" x14ac:dyDescent="0.25">
      <c r="B239" s="88">
        <v>40026</v>
      </c>
      <c r="C239" s="65">
        <v>2.6114285714285715E-2</v>
      </c>
      <c r="D239" s="65"/>
    </row>
    <row r="240" spans="2:4" outlineLevel="1" x14ac:dyDescent="0.25">
      <c r="B240" s="88">
        <v>40057</v>
      </c>
      <c r="C240" s="65">
        <v>2.4942857142857142E-2</v>
      </c>
      <c r="D240" s="65"/>
    </row>
    <row r="241" spans="2:4" outlineLevel="1" x14ac:dyDescent="0.25">
      <c r="B241" s="88">
        <v>40087</v>
      </c>
      <c r="C241" s="65">
        <v>2.2038095238095239E-2</v>
      </c>
      <c r="D241" s="65"/>
    </row>
    <row r="242" spans="2:4" outlineLevel="1" x14ac:dyDescent="0.25">
      <c r="B242" s="88">
        <v>40118</v>
      </c>
      <c r="C242" s="65">
        <v>2.1473684210526315E-2</v>
      </c>
      <c r="D242" s="65"/>
    </row>
    <row r="243" spans="2:4" outlineLevel="1" x14ac:dyDescent="0.25">
      <c r="B243" s="88">
        <v>40148</v>
      </c>
      <c r="C243" s="65">
        <v>2.0813636363636361E-2</v>
      </c>
      <c r="D243" s="65"/>
    </row>
    <row r="244" spans="2:4" outlineLevel="1" x14ac:dyDescent="0.25">
      <c r="B244" s="88">
        <v>40179</v>
      </c>
      <c r="C244" s="65">
        <v>2.1063157894736843E-2</v>
      </c>
      <c r="D244" s="65"/>
    </row>
    <row r="245" spans="2:4" outlineLevel="1" x14ac:dyDescent="0.25">
      <c r="B245" s="88">
        <v>40210</v>
      </c>
      <c r="C245" s="65">
        <v>2.3542105263157899E-2</v>
      </c>
      <c r="D245" s="65"/>
    </row>
    <row r="246" spans="2:4" outlineLevel="1" x14ac:dyDescent="0.25">
      <c r="B246" s="88">
        <v>40238</v>
      </c>
      <c r="C246" s="65">
        <v>1.8886363636363635E-2</v>
      </c>
      <c r="D246" s="65"/>
    </row>
    <row r="247" spans="2:4" outlineLevel="1" x14ac:dyDescent="0.25">
      <c r="B247" s="88">
        <v>40269</v>
      </c>
      <c r="C247" s="65">
        <v>1.7276190476190476E-2</v>
      </c>
      <c r="D247" s="65"/>
    </row>
    <row r="248" spans="2:4" outlineLevel="1" x14ac:dyDescent="0.25">
      <c r="B248" s="88">
        <v>40299</v>
      </c>
      <c r="C248" s="65">
        <v>2.3055000000000003E-2</v>
      </c>
      <c r="D248" s="65"/>
    </row>
    <row r="249" spans="2:4" outlineLevel="1" x14ac:dyDescent="0.25">
      <c r="B249" s="88">
        <v>40330</v>
      </c>
      <c r="C249" s="65">
        <v>2.2304545454545455E-2</v>
      </c>
      <c r="D249" s="65"/>
    </row>
    <row r="250" spans="2:4" outlineLevel="1" x14ac:dyDescent="0.25">
      <c r="B250" s="88">
        <v>40360</v>
      </c>
      <c r="C250" s="65">
        <v>1.9766666666666665E-2</v>
      </c>
      <c r="D250" s="65"/>
    </row>
    <row r="251" spans="2:4" outlineLevel="1" x14ac:dyDescent="0.25">
      <c r="B251" s="88">
        <v>40391</v>
      </c>
      <c r="C251" s="65">
        <v>1.6577272727272729E-2</v>
      </c>
      <c r="D251" s="65"/>
    </row>
    <row r="252" spans="2:4" outlineLevel="1" x14ac:dyDescent="0.25">
      <c r="B252" s="88">
        <v>40422</v>
      </c>
      <c r="C252" s="65">
        <v>1.7595238095238098E-2</v>
      </c>
      <c r="D252" s="65"/>
    </row>
    <row r="253" spans="2:4" outlineLevel="1" x14ac:dyDescent="0.25">
      <c r="B253" s="88">
        <v>40452</v>
      </c>
      <c r="C253" s="65">
        <v>1.575E-2</v>
      </c>
      <c r="D253" s="65"/>
    </row>
    <row r="254" spans="2:4" outlineLevel="1" x14ac:dyDescent="0.25">
      <c r="B254" s="88">
        <v>40483</v>
      </c>
      <c r="C254" s="65">
        <v>1.5173684210526315E-2</v>
      </c>
      <c r="D254" s="65"/>
    </row>
    <row r="255" spans="2:4" outlineLevel="1" x14ac:dyDescent="0.25">
      <c r="B255" s="88">
        <v>40513</v>
      </c>
      <c r="C255" s="65">
        <v>1.6054545454545453E-2</v>
      </c>
      <c r="D255" s="65"/>
    </row>
    <row r="256" spans="2:4" outlineLevel="1" x14ac:dyDescent="0.25">
      <c r="B256" s="88">
        <v>40544</v>
      </c>
      <c r="C256" s="65">
        <v>1.4594999999999999E-2</v>
      </c>
      <c r="D256" s="65"/>
    </row>
    <row r="257" spans="2:4" outlineLevel="1" x14ac:dyDescent="0.25">
      <c r="B257" s="88">
        <v>40575</v>
      </c>
      <c r="C257" s="65">
        <v>1.5100000000000001E-2</v>
      </c>
      <c r="D257" s="65"/>
    </row>
    <row r="258" spans="2:4" outlineLevel="1" x14ac:dyDescent="0.25">
      <c r="B258" s="88">
        <v>40603</v>
      </c>
      <c r="C258" s="65">
        <v>1.5513043478260869E-2</v>
      </c>
      <c r="D258" s="65"/>
    </row>
    <row r="259" spans="2:4" outlineLevel="1" x14ac:dyDescent="0.25">
      <c r="B259" s="88">
        <v>40634</v>
      </c>
      <c r="C259" s="65">
        <v>1.516E-2</v>
      </c>
      <c r="D259" s="65"/>
    </row>
    <row r="260" spans="2:4" outlineLevel="1" x14ac:dyDescent="0.25">
      <c r="B260" s="88">
        <v>40664</v>
      </c>
      <c r="C260" s="65">
        <v>1.4728571428571429E-2</v>
      </c>
      <c r="D260" s="65"/>
    </row>
    <row r="261" spans="2:4" outlineLevel="1" x14ac:dyDescent="0.25">
      <c r="B261" s="88">
        <v>40695</v>
      </c>
      <c r="C261" s="65">
        <v>1.4463636363636363E-2</v>
      </c>
      <c r="D261" s="65"/>
    </row>
    <row r="262" spans="2:4" outlineLevel="1" x14ac:dyDescent="0.25">
      <c r="B262" s="88">
        <v>40725</v>
      </c>
      <c r="C262" s="65">
        <v>1.4180000000000002E-2</v>
      </c>
      <c r="D262" s="65"/>
    </row>
    <row r="263" spans="2:4" outlineLevel="1" x14ac:dyDescent="0.25">
      <c r="B263" s="88">
        <v>40756</v>
      </c>
      <c r="C263" s="65">
        <v>1.7082608695652174E-2</v>
      </c>
      <c r="D263" s="65"/>
    </row>
    <row r="264" spans="2:4" outlineLevel="1" x14ac:dyDescent="0.25">
      <c r="B264" s="88">
        <v>40787</v>
      </c>
      <c r="C264" s="65">
        <v>2.1481818181818178E-2</v>
      </c>
      <c r="D264" s="65"/>
    </row>
    <row r="265" spans="2:4" outlineLevel="1" x14ac:dyDescent="0.25">
      <c r="B265" s="88">
        <v>40817</v>
      </c>
      <c r="C265" s="65">
        <v>2.070952380952381E-2</v>
      </c>
      <c r="D265" s="65"/>
    </row>
    <row r="266" spans="2:4" outlineLevel="1" x14ac:dyDescent="0.25">
      <c r="B266" s="88">
        <v>40848</v>
      </c>
      <c r="C266" s="65">
        <v>1.9704545454545454E-2</v>
      </c>
      <c r="D266" s="65"/>
    </row>
    <row r="267" spans="2:4" outlineLevel="1" x14ac:dyDescent="0.25">
      <c r="B267" s="88">
        <v>40878</v>
      </c>
      <c r="C267" s="65">
        <v>1.8757142857142858E-2</v>
      </c>
      <c r="D267" s="65"/>
    </row>
    <row r="268" spans="2:4" outlineLevel="1" x14ac:dyDescent="0.25">
      <c r="B268" s="88">
        <v>40909</v>
      </c>
      <c r="C268" s="65">
        <v>1.9665000000000002E-2</v>
      </c>
      <c r="D268" s="65"/>
    </row>
    <row r="269" spans="2:4" outlineLevel="1" x14ac:dyDescent="0.25">
      <c r="B269" s="88">
        <v>40940</v>
      </c>
      <c r="C269" s="65">
        <v>1.7595E-2</v>
      </c>
      <c r="D269" s="65"/>
    </row>
    <row r="270" spans="2:4" outlineLevel="1" x14ac:dyDescent="0.25">
      <c r="B270" s="88">
        <v>40969</v>
      </c>
      <c r="C270" s="65">
        <v>1.490909090909091E-2</v>
      </c>
      <c r="D270" s="65"/>
    </row>
    <row r="271" spans="2:4" outlineLevel="1" x14ac:dyDescent="0.25">
      <c r="B271" s="88">
        <v>41000</v>
      </c>
      <c r="C271" s="65">
        <v>1.474E-2</v>
      </c>
      <c r="D271" s="65"/>
    </row>
    <row r="272" spans="2:4" outlineLevel="1" x14ac:dyDescent="0.25">
      <c r="B272" s="88">
        <v>41030</v>
      </c>
      <c r="C272" s="65">
        <v>1.7340909090909091E-2</v>
      </c>
      <c r="D272" s="65"/>
    </row>
    <row r="273" spans="2:4" outlineLevel="1" x14ac:dyDescent="0.25">
      <c r="B273" s="88">
        <v>41061</v>
      </c>
      <c r="C273" s="65">
        <v>1.7276190476190476E-2</v>
      </c>
      <c r="D273" s="65"/>
    </row>
    <row r="274" spans="2:4" outlineLevel="1" x14ac:dyDescent="0.25">
      <c r="B274" s="88">
        <v>41091</v>
      </c>
      <c r="C274" s="65">
        <v>1.5095454545454547E-2</v>
      </c>
      <c r="D274" s="65"/>
    </row>
    <row r="275" spans="2:4" outlineLevel="1" x14ac:dyDescent="0.25">
      <c r="B275" s="88">
        <v>41122</v>
      </c>
      <c r="C275" s="65">
        <v>1.2878260869565219E-2</v>
      </c>
      <c r="D275" s="65"/>
    </row>
    <row r="276" spans="2:4" outlineLevel="1" x14ac:dyDescent="0.25">
      <c r="B276" s="88">
        <v>41153</v>
      </c>
      <c r="C276" s="65">
        <v>1.265E-2</v>
      </c>
      <c r="D276" s="65"/>
    </row>
    <row r="277" spans="2:4" outlineLevel="1" x14ac:dyDescent="0.25">
      <c r="B277" s="88">
        <v>41183</v>
      </c>
      <c r="C277" s="65">
        <v>1.1065217391304349E-2</v>
      </c>
      <c r="D277" s="65"/>
    </row>
    <row r="278" spans="2:4" outlineLevel="1" x14ac:dyDescent="0.25">
      <c r="B278" s="88">
        <v>41214</v>
      </c>
      <c r="C278" s="65">
        <v>1.228181818181818E-2</v>
      </c>
      <c r="D278" s="65"/>
    </row>
    <row r="279" spans="2:4" outlineLevel="1" x14ac:dyDescent="0.25">
      <c r="B279" s="88">
        <v>41244</v>
      </c>
      <c r="C279" s="65">
        <v>1.1614285714285714E-2</v>
      </c>
      <c r="D279" s="65"/>
    </row>
    <row r="280" spans="2:4" outlineLevel="1" x14ac:dyDescent="0.25">
      <c r="B280" s="88">
        <v>41275</v>
      </c>
      <c r="C280" s="65">
        <v>1.1271428571428569E-2</v>
      </c>
      <c r="D280" s="65"/>
    </row>
    <row r="281" spans="2:4" outlineLevel="1" x14ac:dyDescent="0.25">
      <c r="B281" s="88">
        <v>41306</v>
      </c>
      <c r="C281" s="65">
        <v>1.3147368421052632E-2</v>
      </c>
      <c r="D281" s="65"/>
    </row>
    <row r="282" spans="2:4" outlineLevel="1" x14ac:dyDescent="0.25">
      <c r="B282" s="88">
        <v>41334</v>
      </c>
      <c r="C282" s="65">
        <v>1.4155000000000003E-2</v>
      </c>
      <c r="D282" s="65"/>
    </row>
    <row r="283" spans="2:4" outlineLevel="1" x14ac:dyDescent="0.25">
      <c r="B283" s="88">
        <v>41365</v>
      </c>
      <c r="C283" s="65">
        <v>1.3195454545454545E-2</v>
      </c>
      <c r="D283" s="65"/>
    </row>
    <row r="284" spans="2:4" outlineLevel="1" x14ac:dyDescent="0.25">
      <c r="B284" s="88">
        <v>41395</v>
      </c>
      <c r="C284" s="65">
        <v>1.6899999999999998E-2</v>
      </c>
      <c r="D284" s="65"/>
    </row>
    <row r="285" spans="2:4" outlineLevel="1" x14ac:dyDescent="0.25">
      <c r="B285" s="88">
        <v>41426</v>
      </c>
      <c r="C285" s="65">
        <v>1.95E-2</v>
      </c>
      <c r="D285" s="65"/>
    </row>
    <row r="286" spans="2:4" outlineLevel="1" x14ac:dyDescent="0.25">
      <c r="B286" s="88">
        <v>41456</v>
      </c>
      <c r="C286" s="65">
        <v>1.83E-2</v>
      </c>
      <c r="D286" s="65"/>
    </row>
    <row r="287" spans="2:4" outlineLevel="1" x14ac:dyDescent="0.25">
      <c r="B287" s="88">
        <v>41487</v>
      </c>
      <c r="C287" s="65">
        <v>1.9800000000000002E-2</v>
      </c>
      <c r="D287" s="65"/>
    </row>
    <row r="288" spans="2:4" outlineLevel="1" x14ac:dyDescent="0.25">
      <c r="B288" s="88">
        <v>41518</v>
      </c>
      <c r="C288" s="65">
        <v>1.8700000000000001E-2</v>
      </c>
      <c r="D288" s="65"/>
    </row>
    <row r="289" spans="2:4" outlineLevel="1" x14ac:dyDescent="0.25">
      <c r="B289" s="88">
        <v>41548</v>
      </c>
      <c r="C289" s="65">
        <v>1.72E-2</v>
      </c>
      <c r="D289" s="65"/>
    </row>
    <row r="290" spans="2:4" outlineLevel="1" x14ac:dyDescent="0.25">
      <c r="B290" s="88">
        <v>41579</v>
      </c>
      <c r="C290" s="65">
        <v>1.9300000000000001E-2</v>
      </c>
      <c r="D290" s="65"/>
    </row>
    <row r="291" spans="2:4" outlineLevel="1" x14ac:dyDescent="0.25">
      <c r="B291" s="88">
        <v>41609</v>
      </c>
      <c r="C291" s="65">
        <v>2.0400000000000001E-2</v>
      </c>
      <c r="D291" s="65"/>
    </row>
    <row r="292" spans="2:4" outlineLevel="1" x14ac:dyDescent="0.25">
      <c r="B292" s="88">
        <v>41640</v>
      </c>
      <c r="C292" s="65">
        <v>2.29E-2</v>
      </c>
      <c r="D292" s="65"/>
    </row>
    <row r="293" spans="2:4" outlineLevel="1" x14ac:dyDescent="0.25">
      <c r="B293" s="88">
        <v>41671</v>
      </c>
      <c r="C293" s="65">
        <v>1.9699999999999999E-2</v>
      </c>
      <c r="D293" s="65"/>
    </row>
    <row r="294" spans="2:4" outlineLevel="1" x14ac:dyDescent="0.25">
      <c r="B294" s="88">
        <v>41699</v>
      </c>
      <c r="C294" s="65">
        <v>2.1899999999999999E-2</v>
      </c>
      <c r="D294" s="65"/>
    </row>
    <row r="295" spans="2:4" outlineLevel="1" x14ac:dyDescent="0.25">
      <c r="B295" s="88">
        <v>41730</v>
      </c>
      <c r="C295" s="65">
        <v>2.1000000000000001E-2</v>
      </c>
      <c r="D295" s="65"/>
    </row>
    <row r="296" spans="2:4" outlineLevel="1" x14ac:dyDescent="0.25">
      <c r="B296" s="88">
        <v>41760</v>
      </c>
      <c r="C296" s="65">
        <v>2.18E-2</v>
      </c>
      <c r="D296" s="65"/>
    </row>
    <row r="297" spans="2:4" outlineLevel="1" x14ac:dyDescent="0.25">
      <c r="B297" s="88">
        <v>41791</v>
      </c>
      <c r="C297" s="65">
        <v>2.29E-2</v>
      </c>
      <c r="D297" s="65"/>
    </row>
    <row r="298" spans="2:4" outlineLevel="1" x14ac:dyDescent="0.25">
      <c r="B298" s="88">
        <v>41821</v>
      </c>
      <c r="C298" s="65">
        <v>2.46E-2</v>
      </c>
      <c r="D298" s="65"/>
    </row>
    <row r="299" spans="2:4" outlineLevel="1" x14ac:dyDescent="0.25">
      <c r="B299" s="88">
        <v>41852</v>
      </c>
      <c r="C299" s="65">
        <v>2.7400000000000001E-2</v>
      </c>
      <c r="D299" s="65"/>
    </row>
    <row r="300" spans="2:4" outlineLevel="1" x14ac:dyDescent="0.25">
      <c r="B300" s="88">
        <v>41883</v>
      </c>
      <c r="C300" s="65">
        <v>4.4200000000000003E-2</v>
      </c>
      <c r="D300" s="65"/>
    </row>
    <row r="301" spans="2:4" outlineLevel="1" x14ac:dyDescent="0.25">
      <c r="B301" s="88">
        <v>41913</v>
      </c>
      <c r="C301" s="65">
        <v>2.8500000000000001E-2</v>
      </c>
      <c r="D301" s="65"/>
    </row>
    <row r="302" spans="2:4" outlineLevel="1" x14ac:dyDescent="0.25">
      <c r="B302" s="88">
        <v>41944</v>
      </c>
      <c r="C302" s="65">
        <v>2.8899999999999999E-2</v>
      </c>
      <c r="D302" s="65"/>
    </row>
    <row r="303" spans="2:4" outlineLevel="1" x14ac:dyDescent="0.25">
      <c r="B303" s="88">
        <v>41974</v>
      </c>
      <c r="C303" s="65">
        <v>3.2099999999999997E-2</v>
      </c>
      <c r="D303" s="65"/>
    </row>
    <row r="304" spans="2:4" outlineLevel="1" x14ac:dyDescent="0.25">
      <c r="B304" s="88">
        <v>42005</v>
      </c>
      <c r="C304" s="65">
        <v>2.29E-2</v>
      </c>
      <c r="D304" s="65"/>
    </row>
    <row r="305" spans="2:4" outlineLevel="1" x14ac:dyDescent="0.25">
      <c r="B305" s="88">
        <v>42036</v>
      </c>
      <c r="C305" s="65">
        <v>1.9699999999999999E-2</v>
      </c>
      <c r="D305" s="65"/>
    </row>
    <row r="306" spans="2:4" outlineLevel="1" x14ac:dyDescent="0.25">
      <c r="B306" s="88">
        <v>42064</v>
      </c>
      <c r="C306" s="65">
        <v>2.1899999999999999E-2</v>
      </c>
      <c r="D306" s="65"/>
    </row>
    <row r="307" spans="2:4" outlineLevel="1" x14ac:dyDescent="0.25">
      <c r="B307" s="88">
        <v>42095</v>
      </c>
      <c r="C307" s="65">
        <v>2.1000000000000001E-2</v>
      </c>
      <c r="D307" s="65"/>
    </row>
    <row r="308" spans="2:4" outlineLevel="1" x14ac:dyDescent="0.25">
      <c r="B308" s="88">
        <v>42125</v>
      </c>
      <c r="C308" s="65">
        <v>2.18E-2</v>
      </c>
      <c r="D308" s="65"/>
    </row>
    <row r="309" spans="2:4" outlineLevel="1" x14ac:dyDescent="0.25">
      <c r="B309" s="88">
        <v>42156</v>
      </c>
      <c r="C309" s="65">
        <v>2.29E-2</v>
      </c>
      <c r="D309" s="65"/>
    </row>
    <row r="310" spans="2:4" outlineLevel="1" x14ac:dyDescent="0.25">
      <c r="B310" s="88">
        <v>42186</v>
      </c>
      <c r="C310" s="65">
        <v>2.46E-2</v>
      </c>
      <c r="D310" s="65"/>
    </row>
    <row r="311" spans="2:4" outlineLevel="1" x14ac:dyDescent="0.25">
      <c r="B311" s="88">
        <v>42217</v>
      </c>
      <c r="C311" s="65">
        <v>2.7400000000000001E-2</v>
      </c>
      <c r="D311" s="65"/>
    </row>
    <row r="312" spans="2:4" outlineLevel="1" x14ac:dyDescent="0.25">
      <c r="B312" s="88">
        <v>42248</v>
      </c>
      <c r="C312" s="65">
        <v>4.4200000000000003E-2</v>
      </c>
      <c r="D312" s="65"/>
    </row>
    <row r="313" spans="2:4" outlineLevel="1" x14ac:dyDescent="0.25">
      <c r="B313" s="88">
        <v>42278</v>
      </c>
      <c r="C313" s="65">
        <v>2.8500000000000001E-2</v>
      </c>
      <c r="D313" s="65"/>
    </row>
    <row r="314" spans="2:4" outlineLevel="1" x14ac:dyDescent="0.25">
      <c r="B314" s="88">
        <v>42309</v>
      </c>
      <c r="C314" s="65">
        <v>2.8899999999999999E-2</v>
      </c>
      <c r="D314" s="65"/>
    </row>
    <row r="315" spans="2:4" outlineLevel="1" x14ac:dyDescent="0.25">
      <c r="B315" s="88">
        <v>42339</v>
      </c>
      <c r="C315" s="65">
        <v>3.2099999999999997E-2</v>
      </c>
      <c r="D315" s="65"/>
    </row>
    <row r="316" spans="2:4" outlineLevel="1" x14ac:dyDescent="0.25">
      <c r="B316" s="88">
        <v>42370</v>
      </c>
      <c r="C316" s="65">
        <v>3.8100000000000002E-2</v>
      </c>
      <c r="D316" s="67"/>
    </row>
    <row r="317" spans="2:4" outlineLevel="1" x14ac:dyDescent="0.25">
      <c r="B317" s="88">
        <v>42401</v>
      </c>
      <c r="C317" s="65">
        <v>3.7100000000000001E-2</v>
      </c>
      <c r="D317" s="67"/>
    </row>
    <row r="318" spans="2:4" outlineLevel="1" x14ac:dyDescent="0.25">
      <c r="B318" s="88">
        <v>42430</v>
      </c>
      <c r="C318" s="65">
        <v>2.9899999999999999E-2</v>
      </c>
      <c r="D318" s="67"/>
    </row>
    <row r="319" spans="2:4" outlineLevel="1" x14ac:dyDescent="0.25">
      <c r="B319" s="88">
        <v>42461</v>
      </c>
      <c r="C319" s="65">
        <v>2.81E-2</v>
      </c>
      <c r="D319" s="67"/>
    </row>
    <row r="320" spans="2:4" outlineLevel="1" x14ac:dyDescent="0.25">
      <c r="B320" s="88">
        <v>42491</v>
      </c>
      <c r="C320" s="65">
        <v>0.03</v>
      </c>
      <c r="D320" s="67"/>
    </row>
    <row r="321" spans="2:4" outlineLevel="1" x14ac:dyDescent="0.25">
      <c r="B321" s="88">
        <v>42522</v>
      </c>
      <c r="C321" s="65">
        <v>2.6100000000000002E-2</v>
      </c>
      <c r="D321" s="67"/>
    </row>
    <row r="322" spans="2:4" outlineLevel="1" x14ac:dyDescent="0.25">
      <c r="B322" s="88">
        <v>42552</v>
      </c>
      <c r="C322" s="65">
        <v>2.7300000000000001E-2</v>
      </c>
      <c r="D322" s="67"/>
    </row>
    <row r="323" spans="2:4" outlineLevel="1" x14ac:dyDescent="0.25">
      <c r="B323" s="88">
        <v>42583</v>
      </c>
      <c r="C323" s="65">
        <v>2.35E-2</v>
      </c>
      <c r="D323" s="67"/>
    </row>
    <row r="324" spans="2:4" outlineLevel="1" x14ac:dyDescent="0.25">
      <c r="B324" s="88">
        <v>42614</v>
      </c>
      <c r="C324" s="65">
        <v>2.2200000000000001E-2</v>
      </c>
      <c r="D324" s="67"/>
    </row>
    <row r="325" spans="2:4" outlineLevel="1" x14ac:dyDescent="0.25">
      <c r="B325" s="88">
        <v>42644</v>
      </c>
      <c r="C325" s="65">
        <v>2.3900000000000001E-2</v>
      </c>
      <c r="D325" s="67"/>
    </row>
    <row r="326" spans="2:4" outlineLevel="1" x14ac:dyDescent="0.25">
      <c r="B326" s="88">
        <v>42675</v>
      </c>
      <c r="C326" s="65">
        <v>2.5399999999999999E-2</v>
      </c>
      <c r="D326" s="67"/>
    </row>
    <row r="327" spans="2:4" outlineLevel="1" x14ac:dyDescent="0.25">
      <c r="B327" s="88">
        <v>42705</v>
      </c>
      <c r="C327" s="65">
        <v>2.2700000000000001E-2</v>
      </c>
      <c r="D327" s="67"/>
    </row>
    <row r="328" spans="2:4" outlineLevel="1" x14ac:dyDescent="0.25">
      <c r="B328" s="88">
        <v>42736</v>
      </c>
      <c r="C328" s="65">
        <v>0.02</v>
      </c>
      <c r="D328" s="67"/>
    </row>
    <row r="329" spans="2:4" outlineLevel="1" x14ac:dyDescent="0.25">
      <c r="B329" s="88">
        <v>42767</v>
      </c>
      <c r="C329" s="65">
        <v>2.06E-2</v>
      </c>
      <c r="D329" s="67"/>
    </row>
    <row r="330" spans="2:4" outlineLevel="1" x14ac:dyDescent="0.25">
      <c r="B330" s="88">
        <v>42795</v>
      </c>
      <c r="C330" s="65">
        <v>1.95E-2</v>
      </c>
      <c r="D330" s="67"/>
    </row>
    <row r="331" spans="2:4" outlineLevel="1" x14ac:dyDescent="0.25">
      <c r="B331" s="88">
        <v>42826</v>
      </c>
      <c r="C331" s="65">
        <v>1.9800000000000002E-2</v>
      </c>
      <c r="D331" s="67"/>
    </row>
    <row r="332" spans="2:4" outlineLevel="1" x14ac:dyDescent="0.25">
      <c r="B332" s="88">
        <v>42856</v>
      </c>
      <c r="C332" s="65">
        <v>2.06E-2</v>
      </c>
      <c r="D332" s="67"/>
    </row>
    <row r="333" spans="2:4" outlineLevel="1" x14ac:dyDescent="0.25">
      <c r="B333" s="88">
        <v>42887</v>
      </c>
      <c r="C333" s="65">
        <v>2.0299999999999999E-2</v>
      </c>
      <c r="D333" s="67"/>
    </row>
    <row r="334" spans="2:4" outlineLevel="1" x14ac:dyDescent="0.25">
      <c r="B334" s="88">
        <v>42917</v>
      </c>
      <c r="C334" s="65">
        <v>1.9599999999999999E-2</v>
      </c>
      <c r="D334" s="67"/>
    </row>
    <row r="335" spans="2:4" outlineLevel="1" x14ac:dyDescent="0.25">
      <c r="B335" s="88">
        <v>42948</v>
      </c>
      <c r="C335" s="65">
        <v>1.9599999999999999E-2</v>
      </c>
      <c r="D335" s="67"/>
    </row>
    <row r="336" spans="2:4" outlineLevel="1" x14ac:dyDescent="0.25">
      <c r="B336" s="88">
        <v>42979</v>
      </c>
      <c r="C336" s="65">
        <v>1.8599999999999998E-2</v>
      </c>
      <c r="D336" s="67"/>
    </row>
    <row r="337" spans="2:6" outlineLevel="1" x14ac:dyDescent="0.25">
      <c r="B337" s="88">
        <v>43009</v>
      </c>
      <c r="C337" s="65">
        <v>1.8499999999999999E-2</v>
      </c>
      <c r="D337" s="67"/>
    </row>
    <row r="338" spans="2:6" outlineLevel="1" x14ac:dyDescent="0.25">
      <c r="B338" s="88">
        <v>43040</v>
      </c>
      <c r="C338" s="65">
        <v>1.77E-2</v>
      </c>
      <c r="D338" s="65"/>
    </row>
    <row r="339" spans="2:6" outlineLevel="1" x14ac:dyDescent="0.25">
      <c r="B339" s="88">
        <v>43070</v>
      </c>
      <c r="C339" s="65">
        <v>1.7399999999999999E-2</v>
      </c>
    </row>
    <row r="340" spans="2:6" outlineLevel="1" x14ac:dyDescent="0.25">
      <c r="B340" s="88"/>
    </row>
    <row r="341" spans="2:6" x14ac:dyDescent="0.25">
      <c r="B341" s="71" t="s">
        <v>958</v>
      </c>
      <c r="C341" s="89">
        <f>AVERAGE(C112:C339)</f>
        <v>3.4020269397860729E-2</v>
      </c>
    </row>
    <row r="342" spans="2:6" x14ac:dyDescent="0.25">
      <c r="B342" s="71" t="s">
        <v>959</v>
      </c>
      <c r="C342" s="89">
        <f>AVERAGE(C281:C339)</f>
        <v>2.3540641067228946E-2</v>
      </c>
    </row>
    <row r="344" spans="2:6" x14ac:dyDescent="0.25">
      <c r="B344" s="71" t="s">
        <v>960</v>
      </c>
    </row>
    <row r="346" spans="2:6" x14ac:dyDescent="0.25">
      <c r="B346" s="73" t="s">
        <v>961</v>
      </c>
      <c r="C346" s="74"/>
      <c r="D346" s="75"/>
      <c r="E346" s="75"/>
      <c r="F346" s="75"/>
    </row>
    <row r="347" spans="2:6" x14ac:dyDescent="0.25">
      <c r="B347" s="90"/>
      <c r="C347" s="91"/>
      <c r="D347" s="90"/>
      <c r="E347" s="90"/>
      <c r="F347" s="90"/>
    </row>
    <row r="348" spans="2:6" x14ac:dyDescent="0.25">
      <c r="B348" s="92" t="s">
        <v>962</v>
      </c>
      <c r="C348" s="68">
        <f>+D97</f>
        <v>5.153831061547854E-2</v>
      </c>
      <c r="D348" s="90" t="s">
        <v>963</v>
      </c>
      <c r="E348" s="90"/>
    </row>
    <row r="349" spans="2:6" x14ac:dyDescent="0.25">
      <c r="B349" s="92" t="s">
        <v>964</v>
      </c>
      <c r="C349" s="68">
        <f>+C97-D97</f>
        <v>6.3760137947618034E-2</v>
      </c>
      <c r="D349" s="90" t="s">
        <v>963</v>
      </c>
      <c r="E349" s="90"/>
    </row>
    <row r="350" spans="2:6" x14ac:dyDescent="0.25">
      <c r="B350" s="92" t="s">
        <v>965</v>
      </c>
      <c r="C350" s="68">
        <f>+C342</f>
        <v>2.3540641067228946E-2</v>
      </c>
      <c r="D350" s="90" t="s">
        <v>963</v>
      </c>
      <c r="E350" s="90"/>
    </row>
    <row r="351" spans="2:6" x14ac:dyDescent="0.25">
      <c r="B351" s="92" t="s">
        <v>966</v>
      </c>
      <c r="C351" s="62">
        <f>((1+(C353*(1-C356))))*C352</f>
        <v>1.0233999999999999</v>
      </c>
      <c r="D351" s="90" t="s">
        <v>967</v>
      </c>
      <c r="E351" s="90"/>
    </row>
    <row r="352" spans="2:6" x14ac:dyDescent="0.25">
      <c r="B352" s="93" t="s">
        <v>968</v>
      </c>
      <c r="C352" s="68">
        <f>+G104</f>
        <v>0.7</v>
      </c>
      <c r="D352" s="90" t="s">
        <v>963</v>
      </c>
      <c r="E352" s="90"/>
    </row>
    <row r="353" spans="2:5" x14ac:dyDescent="0.25">
      <c r="B353" s="93" t="s">
        <v>969</v>
      </c>
      <c r="C353" s="69">
        <v>0.7</v>
      </c>
      <c r="D353" s="90" t="s">
        <v>963</v>
      </c>
      <c r="E353" s="90"/>
    </row>
    <row r="354" spans="2:5" x14ac:dyDescent="0.25">
      <c r="B354" s="93" t="s">
        <v>970</v>
      </c>
      <c r="C354" s="62">
        <f>(C353*100)/((C353*100)+100)</f>
        <v>0.41176470588235292</v>
      </c>
      <c r="D354" s="90"/>
      <c r="E354" s="90"/>
    </row>
    <row r="355" spans="2:5" x14ac:dyDescent="0.25">
      <c r="B355" s="93" t="s">
        <v>971</v>
      </c>
      <c r="C355" s="62">
        <f>(100)/((C353*100)+100)</f>
        <v>0.58823529411764708</v>
      </c>
      <c r="D355" s="94"/>
      <c r="E355" s="90"/>
    </row>
    <row r="356" spans="2:5" x14ac:dyDescent="0.25">
      <c r="B356" s="93" t="s">
        <v>972</v>
      </c>
      <c r="C356" s="95">
        <v>0.34</v>
      </c>
      <c r="D356" s="90" t="s">
        <v>973</v>
      </c>
      <c r="E356" s="90"/>
    </row>
    <row r="357" spans="2:5" x14ac:dyDescent="0.25">
      <c r="B357" s="92" t="s">
        <v>974</v>
      </c>
      <c r="C357" s="62">
        <f>((1+C358)/(1+C359))-1</f>
        <v>9.8039215686274161E-3</v>
      </c>
      <c r="D357" s="90" t="s">
        <v>967</v>
      </c>
      <c r="E357" s="90"/>
    </row>
    <row r="358" spans="2:5" x14ac:dyDescent="0.25">
      <c r="B358" s="93" t="s">
        <v>975</v>
      </c>
      <c r="C358" s="69">
        <v>0.03</v>
      </c>
      <c r="D358" s="90" t="s">
        <v>976</v>
      </c>
      <c r="E358" s="90"/>
    </row>
    <row r="359" spans="2:5" x14ac:dyDescent="0.25">
      <c r="B359" s="93" t="s">
        <v>977</v>
      </c>
      <c r="C359" s="69">
        <v>0.02</v>
      </c>
      <c r="D359" s="90" t="s">
        <v>978</v>
      </c>
      <c r="E359" s="90"/>
    </row>
    <row r="360" spans="2:5" x14ac:dyDescent="0.25">
      <c r="B360" s="92" t="s">
        <v>979</v>
      </c>
      <c r="C360" s="69">
        <v>0.02</v>
      </c>
      <c r="D360" s="90" t="s">
        <v>980</v>
      </c>
      <c r="E360" s="90"/>
    </row>
    <row r="361" spans="2:5" s="98" customFormat="1" x14ac:dyDescent="0.25">
      <c r="B361" s="96" t="s">
        <v>981</v>
      </c>
      <c r="C361" s="64">
        <f>(1+(C348+C351*C349+C350+C360))*(1+C357)-1</f>
        <v>0.17170687172945942</v>
      </c>
      <c r="D361" s="97"/>
      <c r="E361" s="97"/>
    </row>
    <row r="362" spans="2:5" x14ac:dyDescent="0.25">
      <c r="B362" s="92"/>
      <c r="C362" s="90"/>
      <c r="D362" s="90"/>
      <c r="E362" s="90"/>
    </row>
    <row r="363" spans="2:5" s="98" customFormat="1" x14ac:dyDescent="0.25">
      <c r="B363" s="96" t="s">
        <v>983</v>
      </c>
      <c r="C363" s="64">
        <v>0.115</v>
      </c>
      <c r="D363" s="99"/>
    </row>
    <row r="364" spans="2:5" s="98" customFormat="1" x14ac:dyDescent="0.25">
      <c r="B364" s="96" t="s">
        <v>984</v>
      </c>
      <c r="C364" s="64">
        <f>+C363*(1-C356)</f>
        <v>7.5899999999999995E-2</v>
      </c>
      <c r="D364" s="99"/>
    </row>
    <row r="366" spans="2:5" x14ac:dyDescent="0.25">
      <c r="B366" s="96" t="s">
        <v>985</v>
      </c>
      <c r="C366" s="64">
        <f>+C361*C355+C363*C354</f>
        <v>0.14835698337027026</v>
      </c>
    </row>
    <row r="367" spans="2:5" x14ac:dyDescent="0.25">
      <c r="B367" s="96" t="s">
        <v>986</v>
      </c>
      <c r="C367" s="100">
        <f>+C361*C355+C364*C354</f>
        <v>0.13225698337027025</v>
      </c>
    </row>
  </sheetData>
  <pageMargins left="0.70866141732283472" right="0.70866141732283472" top="0.74803149606299213" bottom="0.74803149606299213" header="0.31496062992125984" footer="0.31496062992125984"/>
  <pageSetup scale="9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2C3D3-5ED8-4531-A90B-DE969CF4C196}">
  <dimension ref="A5:P80"/>
  <sheetViews>
    <sheetView topLeftCell="C67" zoomScale="78" zoomScaleNormal="78" workbookViewId="0">
      <selection activeCell="G80" sqref="G80"/>
    </sheetView>
  </sheetViews>
  <sheetFormatPr baseColWidth="10" defaultColWidth="11.42578125" defaultRowHeight="15" x14ac:dyDescent="0.25"/>
  <cols>
    <col min="1" max="1" width="11.42578125" style="391"/>
    <col min="2" max="2" width="84.7109375" style="391" customWidth="1"/>
    <col min="3" max="3" width="14.7109375" style="391" customWidth="1"/>
    <col min="4" max="16" width="11.5703125" style="391" bestFit="1" customWidth="1"/>
    <col min="17" max="16384" width="11.42578125" style="391"/>
  </cols>
  <sheetData>
    <row r="5" spans="1:16" x14ac:dyDescent="0.25">
      <c r="A5" s="504" t="s">
        <v>1628</v>
      </c>
      <c r="B5" s="504"/>
    </row>
    <row r="6" spans="1:16" ht="15.75" thickBot="1" x14ac:dyDescent="0.3"/>
    <row r="7" spans="1:16" ht="16.5" thickBot="1" x14ac:dyDescent="0.3">
      <c r="A7" s="392"/>
      <c r="B7" s="393" t="s">
        <v>1629</v>
      </c>
      <c r="C7" s="393">
        <v>2015</v>
      </c>
      <c r="D7" s="393">
        <v>2016</v>
      </c>
      <c r="E7" s="393">
        <v>2017</v>
      </c>
      <c r="F7" s="393">
        <v>2018</v>
      </c>
      <c r="G7" s="393">
        <v>2019</v>
      </c>
      <c r="H7" s="393">
        <v>2020</v>
      </c>
      <c r="I7" s="393">
        <v>2021</v>
      </c>
      <c r="J7" s="393">
        <v>2022</v>
      </c>
      <c r="K7" s="393">
        <v>2023</v>
      </c>
      <c r="L7" s="393">
        <v>2024</v>
      </c>
      <c r="M7" s="393">
        <v>2025</v>
      </c>
      <c r="N7" s="393">
        <v>2026</v>
      </c>
      <c r="O7" s="393">
        <v>2027</v>
      </c>
      <c r="P7" s="393">
        <v>2028</v>
      </c>
    </row>
    <row r="8" spans="1:16" x14ac:dyDescent="0.25">
      <c r="A8" s="394" t="s">
        <v>1630</v>
      </c>
      <c r="B8" s="395" t="s">
        <v>1715</v>
      </c>
      <c r="C8" s="437">
        <f>+PRY!D51</f>
        <v>81852000000</v>
      </c>
      <c r="D8" s="437">
        <f>+PRY!E51</f>
        <v>81852000000</v>
      </c>
      <c r="E8" s="437">
        <f>+PRY!F51</f>
        <v>81852000000</v>
      </c>
      <c r="F8" s="437">
        <f>+PRY!G51</f>
        <v>81852000000</v>
      </c>
      <c r="G8" s="437">
        <f>+PRY!H51</f>
        <v>81852000000</v>
      </c>
      <c r="H8" s="437">
        <f>+PRY!I51</f>
        <v>81852000000</v>
      </c>
      <c r="I8" s="437">
        <f>+PRY!J51</f>
        <v>81852000000</v>
      </c>
      <c r="J8" s="437">
        <f>+PRY!K51</f>
        <v>111852000000</v>
      </c>
      <c r="K8" s="437">
        <f>+PRY!L51</f>
        <v>235852000000</v>
      </c>
      <c r="L8" s="437">
        <f>+PRY!M51</f>
        <v>265852000000</v>
      </c>
      <c r="M8" s="437">
        <f>+PRY!N51</f>
        <v>265852000000</v>
      </c>
      <c r="N8" s="437">
        <f>+PRY!O51</f>
        <v>265852000000</v>
      </c>
      <c r="O8" s="437">
        <f>+PRY!P51</f>
        <v>265852000000</v>
      </c>
      <c r="P8" s="437">
        <f>+PRY!Q51</f>
        <v>265852000000</v>
      </c>
    </row>
    <row r="9" spans="1:16" x14ac:dyDescent="0.25">
      <c r="A9" s="394" t="s">
        <v>1630</v>
      </c>
      <c r="B9" s="395" t="s">
        <v>1632</v>
      </c>
      <c r="C9" s="431">
        <v>0</v>
      </c>
      <c r="D9" s="431">
        <v>0</v>
      </c>
      <c r="E9" s="431">
        <v>0</v>
      </c>
      <c r="F9" s="431">
        <v>0</v>
      </c>
      <c r="G9" s="431">
        <v>0</v>
      </c>
      <c r="H9" s="431">
        <v>0</v>
      </c>
      <c r="I9" s="431">
        <v>0</v>
      </c>
      <c r="J9" s="431">
        <v>0</v>
      </c>
      <c r="K9" s="431">
        <v>0</v>
      </c>
      <c r="L9" s="431">
        <v>0</v>
      </c>
      <c r="M9" s="431">
        <v>0</v>
      </c>
      <c r="N9" s="431">
        <v>0</v>
      </c>
      <c r="O9" s="431">
        <v>0</v>
      </c>
      <c r="P9" s="431">
        <v>0</v>
      </c>
    </row>
    <row r="10" spans="1:16" x14ac:dyDescent="0.25">
      <c r="A10" s="394" t="s">
        <v>1630</v>
      </c>
      <c r="B10" s="396" t="s">
        <v>1633</v>
      </c>
      <c r="C10" s="431">
        <v>0</v>
      </c>
      <c r="D10" s="431">
        <v>0</v>
      </c>
      <c r="E10" s="431">
        <v>0</v>
      </c>
      <c r="F10" s="431">
        <v>0</v>
      </c>
      <c r="G10" s="431">
        <v>0</v>
      </c>
      <c r="H10" s="431">
        <v>0</v>
      </c>
      <c r="I10" s="431">
        <v>0</v>
      </c>
      <c r="J10" s="431">
        <v>0</v>
      </c>
      <c r="K10" s="431">
        <v>0</v>
      </c>
      <c r="L10" s="431">
        <v>0</v>
      </c>
      <c r="M10" s="431">
        <v>0</v>
      </c>
      <c r="N10" s="431">
        <v>0</v>
      </c>
      <c r="O10" s="431">
        <v>0</v>
      </c>
      <c r="P10" s="431">
        <v>0</v>
      </c>
    </row>
    <row r="11" spans="1:16" x14ac:dyDescent="0.25">
      <c r="A11" s="394" t="s">
        <v>1630</v>
      </c>
      <c r="B11" s="396" t="s">
        <v>1634</v>
      </c>
      <c r="C11" s="431">
        <v>0</v>
      </c>
      <c r="D11" s="431">
        <v>0</v>
      </c>
      <c r="E11" s="431">
        <v>0</v>
      </c>
      <c r="F11" s="431">
        <v>0</v>
      </c>
      <c r="G11" s="431">
        <v>0</v>
      </c>
      <c r="H11" s="431">
        <v>0</v>
      </c>
      <c r="I11" s="431">
        <v>0</v>
      </c>
      <c r="J11" s="431">
        <v>0</v>
      </c>
      <c r="K11" s="431">
        <v>0</v>
      </c>
      <c r="L11" s="431">
        <v>0</v>
      </c>
      <c r="M11" s="431">
        <v>0</v>
      </c>
      <c r="N11" s="431">
        <v>0</v>
      </c>
      <c r="O11" s="431">
        <v>0</v>
      </c>
      <c r="P11" s="431">
        <v>0</v>
      </c>
    </row>
    <row r="12" spans="1:16" x14ac:dyDescent="0.25">
      <c r="A12" s="394" t="s">
        <v>1630</v>
      </c>
      <c r="B12" s="396" t="s">
        <v>1635</v>
      </c>
      <c r="C12" s="431">
        <v>0</v>
      </c>
      <c r="D12" s="431">
        <v>0</v>
      </c>
      <c r="E12" s="431">
        <v>0</v>
      </c>
      <c r="F12" s="431">
        <v>0</v>
      </c>
      <c r="G12" s="431">
        <v>0</v>
      </c>
      <c r="H12" s="431">
        <v>0</v>
      </c>
      <c r="I12" s="431">
        <v>0</v>
      </c>
      <c r="J12" s="431">
        <v>0</v>
      </c>
      <c r="K12" s="431">
        <v>0</v>
      </c>
      <c r="L12" s="431">
        <v>0</v>
      </c>
      <c r="M12" s="431">
        <v>0</v>
      </c>
      <c r="N12" s="431">
        <v>0</v>
      </c>
      <c r="O12" s="431">
        <v>0</v>
      </c>
      <c r="P12" s="431">
        <v>0</v>
      </c>
    </row>
    <row r="13" spans="1:16" x14ac:dyDescent="0.25">
      <c r="A13" s="394" t="s">
        <v>1630</v>
      </c>
      <c r="B13" s="396" t="s">
        <v>1636</v>
      </c>
      <c r="C13" s="431">
        <v>0</v>
      </c>
      <c r="D13" s="431">
        <v>0</v>
      </c>
      <c r="E13" s="431">
        <v>0</v>
      </c>
      <c r="F13" s="431">
        <v>0</v>
      </c>
      <c r="G13" s="431">
        <f>+PRY!H57</f>
        <v>123897937688.93311</v>
      </c>
      <c r="H13" s="431">
        <f>+PRY!I57+PRY!H57</f>
        <v>147819567627.88019</v>
      </c>
      <c r="I13" s="431">
        <f>+PRY!J57+H13</f>
        <v>140639845066.83331</v>
      </c>
      <c r="J13" s="431">
        <f>+PRY!K57+I13</f>
        <v>154874420343.862</v>
      </c>
      <c r="K13" s="431">
        <f>+PRY!L57+J13</f>
        <v>194733611950.19849</v>
      </c>
      <c r="L13" s="431">
        <f>+PRY!M57+K13</f>
        <v>255307579159.11707</v>
      </c>
      <c r="M13" s="431">
        <f>+PRY!N57+L13</f>
        <v>336004629548.72162</v>
      </c>
      <c r="N13" s="431">
        <f>+PRY!O57+M13</f>
        <v>423492076986.91272</v>
      </c>
      <c r="O13" s="431">
        <f>+PRY!P57+N13</f>
        <v>513941500884.6311</v>
      </c>
      <c r="P13" s="431">
        <f>+PRY!Q57+O13</f>
        <v>600838877900.00916</v>
      </c>
    </row>
    <row r="14" spans="1:16" x14ac:dyDescent="0.25">
      <c r="A14" s="394" t="s">
        <v>1630</v>
      </c>
      <c r="B14" s="396" t="s">
        <v>1637</v>
      </c>
      <c r="C14" s="431">
        <v>0</v>
      </c>
      <c r="D14" s="431">
        <v>0</v>
      </c>
      <c r="E14" s="431">
        <v>0</v>
      </c>
      <c r="F14" s="431">
        <v>0</v>
      </c>
      <c r="G14" s="431">
        <v>0</v>
      </c>
      <c r="H14" s="431">
        <v>0</v>
      </c>
      <c r="I14" s="431">
        <v>0</v>
      </c>
      <c r="J14" s="431">
        <v>0</v>
      </c>
      <c r="K14" s="431">
        <v>0</v>
      </c>
      <c r="L14" s="431">
        <v>0</v>
      </c>
      <c r="M14" s="431">
        <v>0</v>
      </c>
      <c r="N14" s="431">
        <v>0</v>
      </c>
      <c r="O14" s="431">
        <v>0</v>
      </c>
      <c r="P14" s="431">
        <v>0</v>
      </c>
    </row>
    <row r="15" spans="1:16" x14ac:dyDescent="0.25">
      <c r="A15" s="394" t="s">
        <v>1630</v>
      </c>
      <c r="B15" s="396" t="s">
        <v>1638</v>
      </c>
      <c r="C15" s="431">
        <v>0</v>
      </c>
      <c r="D15" s="431">
        <v>0</v>
      </c>
      <c r="E15" s="431">
        <v>0</v>
      </c>
      <c r="F15" s="431">
        <v>0</v>
      </c>
      <c r="G15" s="431">
        <v>0</v>
      </c>
      <c r="H15" s="431">
        <v>0</v>
      </c>
      <c r="I15" s="431">
        <v>0</v>
      </c>
      <c r="J15" s="431">
        <v>0</v>
      </c>
      <c r="K15" s="431">
        <v>0</v>
      </c>
      <c r="L15" s="431">
        <v>0</v>
      </c>
      <c r="M15" s="431">
        <v>0</v>
      </c>
      <c r="N15" s="431">
        <v>0</v>
      </c>
      <c r="O15" s="431">
        <v>0</v>
      </c>
      <c r="P15" s="431">
        <v>0</v>
      </c>
    </row>
    <row r="16" spans="1:16" x14ac:dyDescent="0.25">
      <c r="A16" s="394" t="s">
        <v>1639</v>
      </c>
      <c r="B16" s="396" t="s">
        <v>1640</v>
      </c>
      <c r="C16" s="431">
        <f>+PRY!D56</f>
        <v>-142020232589</v>
      </c>
      <c r="D16" s="431">
        <f>+PRY!E56</f>
        <v>-251350417215</v>
      </c>
      <c r="E16" s="431">
        <f>+PRY!F56</f>
        <v>-370723152544</v>
      </c>
      <c r="F16" s="431">
        <f>+PRY!G56</f>
        <v>-765723258680</v>
      </c>
      <c r="G16" s="431">
        <f>+PRY!H56</f>
        <v>-804246166893.94641</v>
      </c>
      <c r="H16" s="431">
        <f t="shared" ref="H16:P16" si="0">+G16</f>
        <v>-804246166893.94641</v>
      </c>
      <c r="I16" s="431">
        <f t="shared" si="0"/>
        <v>-804246166893.94641</v>
      </c>
      <c r="J16" s="431">
        <f t="shared" si="0"/>
        <v>-804246166893.94641</v>
      </c>
      <c r="K16" s="431">
        <f t="shared" si="0"/>
        <v>-804246166893.94641</v>
      </c>
      <c r="L16" s="431">
        <f t="shared" si="0"/>
        <v>-804246166893.94641</v>
      </c>
      <c r="M16" s="431">
        <f t="shared" si="0"/>
        <v>-804246166893.94641</v>
      </c>
      <c r="N16" s="431">
        <f t="shared" si="0"/>
        <v>-804246166893.94641</v>
      </c>
      <c r="O16" s="431">
        <f t="shared" si="0"/>
        <v>-804246166893.94641</v>
      </c>
      <c r="P16" s="431">
        <f t="shared" si="0"/>
        <v>-804246166893.94641</v>
      </c>
    </row>
    <row r="17" spans="1:16" ht="15.75" thickBot="1" x14ac:dyDescent="0.3">
      <c r="A17" s="397" t="s">
        <v>1639</v>
      </c>
      <c r="B17" s="398" t="s">
        <v>1641</v>
      </c>
      <c r="C17" s="431">
        <f>+PRY!D57</f>
        <v>-109330184626</v>
      </c>
      <c r="D17" s="431">
        <f>+PRY!E57</f>
        <v>-119372735329</v>
      </c>
      <c r="E17" s="431">
        <f>+PRY!F57</f>
        <v>-395000106136</v>
      </c>
      <c r="F17" s="431">
        <f>+PRY!G57</f>
        <v>-38522908213.946457</v>
      </c>
      <c r="G17" s="431">
        <v>0</v>
      </c>
      <c r="H17" s="431">
        <v>0</v>
      </c>
      <c r="I17" s="431">
        <v>0</v>
      </c>
      <c r="J17" s="431">
        <v>0</v>
      </c>
      <c r="K17" s="431">
        <v>0</v>
      </c>
      <c r="L17" s="431">
        <v>0</v>
      </c>
      <c r="M17" s="431">
        <v>0</v>
      </c>
      <c r="N17" s="431">
        <v>0</v>
      </c>
      <c r="O17" s="431">
        <v>0</v>
      </c>
      <c r="P17" s="431">
        <v>0</v>
      </c>
    </row>
    <row r="18" spans="1:16" ht="16.5" thickBot="1" x14ac:dyDescent="0.3">
      <c r="A18" s="399" t="s">
        <v>1642</v>
      </c>
      <c r="B18" s="429" t="s">
        <v>1643</v>
      </c>
      <c r="C18" s="432">
        <f t="shared" ref="C18:P18" si="1">+SUM(C8:C17)</f>
        <v>-169498417215</v>
      </c>
      <c r="D18" s="432">
        <f t="shared" si="1"/>
        <v>-288871152544</v>
      </c>
      <c r="E18" s="432">
        <f t="shared" si="1"/>
        <v>-683871258680</v>
      </c>
      <c r="F18" s="432">
        <f t="shared" si="1"/>
        <v>-722394166893.94641</v>
      </c>
      <c r="G18" s="432">
        <f t="shared" si="1"/>
        <v>-598496229205.01331</v>
      </c>
      <c r="H18" s="432">
        <f t="shared" si="1"/>
        <v>-574574599266.06616</v>
      </c>
      <c r="I18" s="432">
        <f t="shared" si="1"/>
        <v>-581754321827.11304</v>
      </c>
      <c r="J18" s="432">
        <f t="shared" si="1"/>
        <v>-537519746550.08441</v>
      </c>
      <c r="K18" s="432">
        <f t="shared" si="1"/>
        <v>-373660554943.74792</v>
      </c>
      <c r="L18" s="432">
        <f t="shared" si="1"/>
        <v>-283086587734.82935</v>
      </c>
      <c r="M18" s="432">
        <f t="shared" si="1"/>
        <v>-202389537345.22473</v>
      </c>
      <c r="N18" s="432">
        <f t="shared" si="1"/>
        <v>-114902089907.03369</v>
      </c>
      <c r="O18" s="432">
        <f t="shared" si="1"/>
        <v>-24452666009.315308</v>
      </c>
      <c r="P18" s="432">
        <f t="shared" si="1"/>
        <v>62444711006.062744</v>
      </c>
    </row>
    <row r="19" spans="1:16" ht="15.75" thickBot="1" x14ac:dyDescent="0.3">
      <c r="A19" s="392"/>
      <c r="B19" s="400" t="s">
        <v>1644</v>
      </c>
      <c r="C19" s="433">
        <v>10111</v>
      </c>
      <c r="D19" s="433">
        <f>+C19*(1+PRY!E273)</f>
        <v>10795.514700000002</v>
      </c>
      <c r="E19" s="433">
        <f>+D19*(1+PRY!F273)</f>
        <v>11416.256795250003</v>
      </c>
      <c r="F19" s="433">
        <f>+E19*(1+PRY!G273)</f>
        <v>11815.825783083752</v>
      </c>
      <c r="G19" s="433">
        <f>+F19*(1+PRY!H273)</f>
        <v>12229.379685491682</v>
      </c>
      <c r="H19" s="433">
        <f>+G19*(1+PRY!I273)</f>
        <v>12884.874436634038</v>
      </c>
      <c r="I19" s="433">
        <f>+H19*(1+PRY!J273)</f>
        <v>13400.269414099399</v>
      </c>
      <c r="J19" s="433">
        <f>+I19*(1+PRY!K273)</f>
        <v>13802.277496522382</v>
      </c>
      <c r="K19" s="433">
        <f>+J19*(1+PRY!L273)</f>
        <v>14216.345821418054</v>
      </c>
      <c r="L19" s="433">
        <f>+K19*(1+PRY!M273)</f>
        <v>14642.836196060596</v>
      </c>
      <c r="M19" s="433">
        <f>+L19*(1+PRY!N273)</f>
        <v>15082.121281942414</v>
      </c>
      <c r="N19" s="433">
        <f>+M19*(1+PRY!O273)</f>
        <v>15534.584920400688</v>
      </c>
      <c r="O19" s="433">
        <f>+N19*(1+PRY!P273)</f>
        <v>16000.622468012709</v>
      </c>
      <c r="P19" s="433">
        <f>+O19*(1+PRY!Q273)</f>
        <v>16480.641142053089</v>
      </c>
    </row>
    <row r="20" spans="1:16" ht="16.5" thickBot="1" x14ac:dyDescent="0.3">
      <c r="A20" s="399" t="s">
        <v>1642</v>
      </c>
      <c r="B20" s="401" t="s">
        <v>1645</v>
      </c>
      <c r="C20" s="434">
        <f>+C18</f>
        <v>-169498417215</v>
      </c>
      <c r="D20" s="434">
        <f t="shared" ref="D20:P20" si="2">+D18</f>
        <v>-288871152544</v>
      </c>
      <c r="E20" s="434">
        <f t="shared" si="2"/>
        <v>-683871258680</v>
      </c>
      <c r="F20" s="434">
        <f t="shared" si="2"/>
        <v>-722394166893.94641</v>
      </c>
      <c r="G20" s="434">
        <f t="shared" si="2"/>
        <v>-598496229205.01331</v>
      </c>
      <c r="H20" s="434">
        <f t="shared" si="2"/>
        <v>-574574599266.06616</v>
      </c>
      <c r="I20" s="434">
        <f t="shared" si="2"/>
        <v>-581754321827.11304</v>
      </c>
      <c r="J20" s="434">
        <f t="shared" si="2"/>
        <v>-537519746550.08441</v>
      </c>
      <c r="K20" s="434">
        <f t="shared" si="2"/>
        <v>-373660554943.74792</v>
      </c>
      <c r="L20" s="434">
        <f t="shared" si="2"/>
        <v>-283086587734.82935</v>
      </c>
      <c r="M20" s="434">
        <f t="shared" si="2"/>
        <v>-202389537345.22473</v>
      </c>
      <c r="N20" s="434">
        <f t="shared" si="2"/>
        <v>-114902089907.03369</v>
      </c>
      <c r="O20" s="434">
        <f t="shared" si="2"/>
        <v>-24452666009.315308</v>
      </c>
      <c r="P20" s="434">
        <f t="shared" si="2"/>
        <v>62444711006.062744</v>
      </c>
    </row>
    <row r="21" spans="1:16" ht="15.75" thickBot="1" x14ac:dyDescent="0.3">
      <c r="A21" s="392"/>
      <c r="B21" s="402"/>
    </row>
    <row r="22" spans="1:16" ht="16.5" thickBot="1" x14ac:dyDescent="0.3">
      <c r="A22" s="394" t="s">
        <v>1630</v>
      </c>
      <c r="B22" s="393" t="s">
        <v>1646</v>
      </c>
      <c r="C22" s="435">
        <v>0</v>
      </c>
      <c r="D22" s="435">
        <v>0</v>
      </c>
      <c r="E22" s="435">
        <v>0</v>
      </c>
      <c r="F22" s="435">
        <v>0</v>
      </c>
      <c r="G22" s="435">
        <v>0</v>
      </c>
      <c r="H22" s="435">
        <v>0</v>
      </c>
      <c r="I22" s="435">
        <v>0</v>
      </c>
      <c r="J22" s="435">
        <v>0</v>
      </c>
      <c r="K22" s="435">
        <v>0</v>
      </c>
      <c r="L22" s="435">
        <v>0</v>
      </c>
      <c r="M22" s="435">
        <v>0</v>
      </c>
      <c r="N22" s="435">
        <v>0</v>
      </c>
      <c r="O22" s="435">
        <v>0</v>
      </c>
      <c r="P22" s="435">
        <v>0</v>
      </c>
    </row>
    <row r="23" spans="1:16" ht="15.75" thickBot="1" x14ac:dyDescent="0.3">
      <c r="A23" s="392"/>
      <c r="B23" s="239"/>
    </row>
    <row r="24" spans="1:16" ht="32.25" thickBot="1" x14ac:dyDescent="0.3">
      <c r="A24" s="399" t="s">
        <v>1642</v>
      </c>
      <c r="B24" s="403" t="s">
        <v>1647</v>
      </c>
      <c r="C24" s="436">
        <f>+C18-C19</f>
        <v>-169498427326</v>
      </c>
      <c r="D24" s="436">
        <f t="shared" ref="D24:P24" si="3">+D18-D19</f>
        <v>-288871163339.51471</v>
      </c>
      <c r="E24" s="436">
        <f t="shared" si="3"/>
        <v>-683871270096.25684</v>
      </c>
      <c r="F24" s="430">
        <f t="shared" si="3"/>
        <v>-722394178709.77222</v>
      </c>
      <c r="G24" s="436">
        <f t="shared" si="3"/>
        <v>-598496241434.39294</v>
      </c>
      <c r="H24" s="436">
        <f t="shared" si="3"/>
        <v>-574574612150.94055</v>
      </c>
      <c r="I24" s="436">
        <f t="shared" si="3"/>
        <v>-581754335227.38245</v>
      </c>
      <c r="J24" s="436">
        <f t="shared" si="3"/>
        <v>-537519760352.36194</v>
      </c>
      <c r="K24" s="436">
        <f t="shared" si="3"/>
        <v>-373660569160.09375</v>
      </c>
      <c r="L24" s="436">
        <f t="shared" si="3"/>
        <v>-283086602377.66553</v>
      </c>
      <c r="M24" s="436">
        <f t="shared" si="3"/>
        <v>-202389552427.34601</v>
      </c>
      <c r="N24" s="436">
        <f t="shared" si="3"/>
        <v>-114902105441.61861</v>
      </c>
      <c r="O24" s="436">
        <f t="shared" si="3"/>
        <v>-24452682009.937775</v>
      </c>
      <c r="P24" s="436">
        <f t="shared" si="3"/>
        <v>62444694525.4216</v>
      </c>
    </row>
    <row r="25" spans="1:16" ht="15.75" thickBot="1" x14ac:dyDescent="0.3">
      <c r="A25" s="392"/>
      <c r="B25" s="402"/>
    </row>
    <row r="26" spans="1:16" ht="16.5" thickBot="1" x14ac:dyDescent="0.3">
      <c r="B26" s="404" t="s">
        <v>1648</v>
      </c>
      <c r="C26" s="393">
        <v>2015</v>
      </c>
      <c r="D26" s="393">
        <v>2016</v>
      </c>
      <c r="E26" s="393">
        <v>2017</v>
      </c>
      <c r="F26" s="393">
        <v>2018</v>
      </c>
      <c r="G26" s="393">
        <v>2019</v>
      </c>
      <c r="H26" s="393">
        <v>2020</v>
      </c>
      <c r="I26" s="393">
        <v>2021</v>
      </c>
      <c r="J26" s="393">
        <v>2022</v>
      </c>
      <c r="K26" s="393">
        <v>2023</v>
      </c>
      <c r="L26" s="393">
        <v>2024</v>
      </c>
      <c r="M26" s="393">
        <v>2025</v>
      </c>
      <c r="N26" s="393">
        <v>2026</v>
      </c>
      <c r="O26" s="393">
        <v>2027</v>
      </c>
      <c r="P26" s="393">
        <v>2028</v>
      </c>
    </row>
    <row r="27" spans="1:16" ht="15.75" thickBot="1" x14ac:dyDescent="0.3">
      <c r="A27" s="394" t="s">
        <v>1630</v>
      </c>
      <c r="B27" s="439" t="s">
        <v>1631</v>
      </c>
      <c r="C27" s="440">
        <f>+C8</f>
        <v>81852000000</v>
      </c>
      <c r="D27" s="440">
        <f t="shared" ref="D27:P27" si="4">+D8</f>
        <v>81852000000</v>
      </c>
      <c r="E27" s="440">
        <f t="shared" si="4"/>
        <v>81852000000</v>
      </c>
      <c r="F27" s="440">
        <f t="shared" si="4"/>
        <v>81852000000</v>
      </c>
      <c r="G27" s="440">
        <f t="shared" si="4"/>
        <v>81852000000</v>
      </c>
      <c r="H27" s="440">
        <f t="shared" si="4"/>
        <v>81852000000</v>
      </c>
      <c r="I27" s="440">
        <f t="shared" si="4"/>
        <v>81852000000</v>
      </c>
      <c r="J27" s="440">
        <f t="shared" si="4"/>
        <v>111852000000</v>
      </c>
      <c r="K27" s="440">
        <f t="shared" si="4"/>
        <v>235852000000</v>
      </c>
      <c r="L27" s="440">
        <f t="shared" si="4"/>
        <v>265852000000</v>
      </c>
      <c r="M27" s="440">
        <f t="shared" si="4"/>
        <v>265852000000</v>
      </c>
      <c r="N27" s="440">
        <f t="shared" si="4"/>
        <v>265852000000</v>
      </c>
      <c r="O27" s="440">
        <f t="shared" si="4"/>
        <v>265852000000</v>
      </c>
      <c r="P27" s="440">
        <f t="shared" si="4"/>
        <v>265852000000</v>
      </c>
    </row>
    <row r="28" spans="1:16" x14ac:dyDescent="0.25">
      <c r="A28" s="394" t="s">
        <v>1630</v>
      </c>
      <c r="B28" s="438" t="s">
        <v>1632</v>
      </c>
      <c r="C28" s="440">
        <f>+C9</f>
        <v>0</v>
      </c>
      <c r="D28" s="440">
        <f t="shared" ref="D28:P28" si="5">+D9</f>
        <v>0</v>
      </c>
      <c r="E28" s="440">
        <f t="shared" si="5"/>
        <v>0</v>
      </c>
      <c r="F28" s="440">
        <f t="shared" si="5"/>
        <v>0</v>
      </c>
      <c r="G28" s="440">
        <f t="shared" si="5"/>
        <v>0</v>
      </c>
      <c r="H28" s="440">
        <f t="shared" si="5"/>
        <v>0</v>
      </c>
      <c r="I28" s="440">
        <f t="shared" si="5"/>
        <v>0</v>
      </c>
      <c r="J28" s="440">
        <f t="shared" si="5"/>
        <v>0</v>
      </c>
      <c r="K28" s="440">
        <f t="shared" si="5"/>
        <v>0</v>
      </c>
      <c r="L28" s="440">
        <f t="shared" si="5"/>
        <v>0</v>
      </c>
      <c r="M28" s="440">
        <f t="shared" si="5"/>
        <v>0</v>
      </c>
      <c r="N28" s="440">
        <f t="shared" si="5"/>
        <v>0</v>
      </c>
      <c r="O28" s="440">
        <f t="shared" si="5"/>
        <v>0</v>
      </c>
      <c r="P28" s="440">
        <f t="shared" si="5"/>
        <v>0</v>
      </c>
    </row>
    <row r="29" spans="1:16" x14ac:dyDescent="0.25">
      <c r="A29" s="394" t="s">
        <v>1630</v>
      </c>
      <c r="B29" s="405" t="s">
        <v>1633</v>
      </c>
      <c r="C29" s="440">
        <f>+C10</f>
        <v>0</v>
      </c>
      <c r="D29" s="440">
        <f t="shared" ref="D29:P29" si="6">+D10</f>
        <v>0</v>
      </c>
      <c r="E29" s="440">
        <f t="shared" si="6"/>
        <v>0</v>
      </c>
      <c r="F29" s="440">
        <f t="shared" si="6"/>
        <v>0</v>
      </c>
      <c r="G29" s="440">
        <f t="shared" si="6"/>
        <v>0</v>
      </c>
      <c r="H29" s="440">
        <f t="shared" si="6"/>
        <v>0</v>
      </c>
      <c r="I29" s="440">
        <f t="shared" si="6"/>
        <v>0</v>
      </c>
      <c r="J29" s="440">
        <f t="shared" si="6"/>
        <v>0</v>
      </c>
      <c r="K29" s="440">
        <f t="shared" si="6"/>
        <v>0</v>
      </c>
      <c r="L29" s="440">
        <f t="shared" si="6"/>
        <v>0</v>
      </c>
      <c r="M29" s="440">
        <f t="shared" si="6"/>
        <v>0</v>
      </c>
      <c r="N29" s="440">
        <f t="shared" si="6"/>
        <v>0</v>
      </c>
      <c r="O29" s="440">
        <f t="shared" si="6"/>
        <v>0</v>
      </c>
      <c r="P29" s="440">
        <f t="shared" si="6"/>
        <v>0</v>
      </c>
    </row>
    <row r="30" spans="1:16" x14ac:dyDescent="0.25">
      <c r="A30" s="394" t="s">
        <v>1630</v>
      </c>
      <c r="B30" s="405" t="s">
        <v>1649</v>
      </c>
      <c r="C30" s="440">
        <v>0</v>
      </c>
      <c r="D30" s="440">
        <v>0</v>
      </c>
      <c r="E30" s="440">
        <v>0</v>
      </c>
      <c r="F30" s="440">
        <v>0</v>
      </c>
      <c r="G30" s="440">
        <v>0</v>
      </c>
      <c r="H30" s="440">
        <v>0</v>
      </c>
      <c r="I30" s="440">
        <v>0</v>
      </c>
      <c r="J30" s="440">
        <v>0</v>
      </c>
      <c r="K30" s="440">
        <v>0</v>
      </c>
      <c r="L30" s="440">
        <v>0</v>
      </c>
      <c r="M30" s="440">
        <v>0</v>
      </c>
      <c r="N30" s="440">
        <v>0</v>
      </c>
      <c r="O30" s="440">
        <v>0</v>
      </c>
      <c r="P30" s="440">
        <v>0</v>
      </c>
    </row>
    <row r="31" spans="1:16" x14ac:dyDescent="0.25">
      <c r="A31" s="394" t="s">
        <v>1630</v>
      </c>
      <c r="B31" s="405" t="s">
        <v>1650</v>
      </c>
      <c r="C31" s="440">
        <f>+C12</f>
        <v>0</v>
      </c>
      <c r="D31" s="440">
        <f t="shared" ref="D31:P31" si="7">+D12</f>
        <v>0</v>
      </c>
      <c r="E31" s="440">
        <f t="shared" si="7"/>
        <v>0</v>
      </c>
      <c r="F31" s="440">
        <f t="shared" si="7"/>
        <v>0</v>
      </c>
      <c r="G31" s="440">
        <f t="shared" si="7"/>
        <v>0</v>
      </c>
      <c r="H31" s="440">
        <f t="shared" si="7"/>
        <v>0</v>
      </c>
      <c r="I31" s="440">
        <f t="shared" si="7"/>
        <v>0</v>
      </c>
      <c r="J31" s="440">
        <f t="shared" si="7"/>
        <v>0</v>
      </c>
      <c r="K31" s="440">
        <f t="shared" si="7"/>
        <v>0</v>
      </c>
      <c r="L31" s="440">
        <f t="shared" si="7"/>
        <v>0</v>
      </c>
      <c r="M31" s="440">
        <f t="shared" si="7"/>
        <v>0</v>
      </c>
      <c r="N31" s="440">
        <f t="shared" si="7"/>
        <v>0</v>
      </c>
      <c r="O31" s="440">
        <f t="shared" si="7"/>
        <v>0</v>
      </c>
      <c r="P31" s="440">
        <f t="shared" si="7"/>
        <v>0</v>
      </c>
    </row>
    <row r="32" spans="1:16" x14ac:dyDescent="0.25">
      <c r="A32" s="394" t="s">
        <v>1630</v>
      </c>
      <c r="B32" s="406" t="s">
        <v>1651</v>
      </c>
      <c r="C32" s="440">
        <v>0</v>
      </c>
      <c r="D32" s="440">
        <v>0</v>
      </c>
      <c r="E32" s="440">
        <v>0</v>
      </c>
      <c r="F32" s="440">
        <v>0</v>
      </c>
      <c r="G32" s="440">
        <v>0</v>
      </c>
      <c r="H32" s="440">
        <v>0</v>
      </c>
      <c r="I32" s="440">
        <v>0</v>
      </c>
      <c r="J32" s="440">
        <v>0</v>
      </c>
      <c r="K32" s="440">
        <v>0</v>
      </c>
      <c r="L32" s="440">
        <v>0</v>
      </c>
      <c r="M32" s="440">
        <v>0</v>
      </c>
      <c r="N32" s="440">
        <v>0</v>
      </c>
      <c r="O32" s="440">
        <v>0</v>
      </c>
      <c r="P32" s="440">
        <v>0</v>
      </c>
    </row>
    <row r="33" spans="1:16" x14ac:dyDescent="0.25">
      <c r="A33" s="394" t="s">
        <v>1630</v>
      </c>
      <c r="B33" s="407" t="s">
        <v>1636</v>
      </c>
      <c r="C33" s="440">
        <f>+C13</f>
        <v>0</v>
      </c>
      <c r="D33" s="440">
        <f t="shared" ref="D33:P33" si="8">+D13</f>
        <v>0</v>
      </c>
      <c r="E33" s="440">
        <f t="shared" si="8"/>
        <v>0</v>
      </c>
      <c r="F33" s="440">
        <f t="shared" si="8"/>
        <v>0</v>
      </c>
      <c r="G33" s="440">
        <f t="shared" si="8"/>
        <v>123897937688.93311</v>
      </c>
      <c r="H33" s="440">
        <f t="shared" si="8"/>
        <v>147819567627.88019</v>
      </c>
      <c r="I33" s="440">
        <f t="shared" si="8"/>
        <v>140639845066.83331</v>
      </c>
      <c r="J33" s="440">
        <f t="shared" si="8"/>
        <v>154874420343.862</v>
      </c>
      <c r="K33" s="440">
        <f t="shared" si="8"/>
        <v>194733611950.19849</v>
      </c>
      <c r="L33" s="440">
        <f t="shared" si="8"/>
        <v>255307579159.11707</v>
      </c>
      <c r="M33" s="440">
        <f t="shared" si="8"/>
        <v>336004629548.72162</v>
      </c>
      <c r="N33" s="440">
        <f t="shared" si="8"/>
        <v>423492076986.91272</v>
      </c>
      <c r="O33" s="440">
        <f t="shared" si="8"/>
        <v>513941500884.6311</v>
      </c>
      <c r="P33" s="440">
        <f t="shared" si="8"/>
        <v>600838877900.00916</v>
      </c>
    </row>
    <row r="34" spans="1:16" x14ac:dyDescent="0.25">
      <c r="A34" s="394" t="s">
        <v>1630</v>
      </c>
      <c r="B34" s="408" t="s">
        <v>1652</v>
      </c>
      <c r="C34" s="440">
        <v>0</v>
      </c>
      <c r="D34" s="440">
        <v>0</v>
      </c>
      <c r="E34" s="440">
        <v>0</v>
      </c>
      <c r="F34" s="440">
        <v>0</v>
      </c>
      <c r="G34" s="440">
        <v>0</v>
      </c>
      <c r="H34" s="440">
        <v>0</v>
      </c>
      <c r="I34" s="440">
        <v>0</v>
      </c>
      <c r="J34" s="440">
        <v>0</v>
      </c>
      <c r="K34" s="440">
        <v>0</v>
      </c>
      <c r="L34" s="440">
        <v>0</v>
      </c>
      <c r="M34" s="440">
        <v>0</v>
      </c>
      <c r="N34" s="440">
        <v>0</v>
      </c>
      <c r="O34" s="440">
        <v>0</v>
      </c>
      <c r="P34" s="440">
        <v>0</v>
      </c>
    </row>
    <row r="35" spans="1:16" x14ac:dyDescent="0.25">
      <c r="A35" s="394" t="s">
        <v>1630</v>
      </c>
      <c r="B35" s="408" t="s">
        <v>1653</v>
      </c>
      <c r="C35" s="440">
        <v>0</v>
      </c>
      <c r="D35" s="440">
        <v>0</v>
      </c>
      <c r="E35" s="440">
        <v>0</v>
      </c>
      <c r="F35" s="440">
        <v>0</v>
      </c>
      <c r="G35" s="440">
        <v>0</v>
      </c>
      <c r="H35" s="440">
        <v>0</v>
      </c>
      <c r="I35" s="440">
        <v>0</v>
      </c>
      <c r="J35" s="440">
        <v>0</v>
      </c>
      <c r="K35" s="440">
        <v>0</v>
      </c>
      <c r="L35" s="440">
        <v>0</v>
      </c>
      <c r="M35" s="440">
        <v>0</v>
      </c>
      <c r="N35" s="440">
        <v>0</v>
      </c>
      <c r="O35" s="440">
        <v>0</v>
      </c>
      <c r="P35" s="440">
        <v>0</v>
      </c>
    </row>
    <row r="36" spans="1:16" ht="28.5" x14ac:dyDescent="0.25">
      <c r="A36" s="394" t="s">
        <v>1630</v>
      </c>
      <c r="B36" s="406" t="s">
        <v>1654</v>
      </c>
      <c r="C36" s="440">
        <v>0</v>
      </c>
      <c r="D36" s="440">
        <v>0</v>
      </c>
      <c r="E36" s="440">
        <v>0</v>
      </c>
      <c r="F36" s="440">
        <v>0</v>
      </c>
      <c r="G36" s="440">
        <v>0</v>
      </c>
      <c r="H36" s="440">
        <v>0</v>
      </c>
      <c r="I36" s="440">
        <v>0</v>
      </c>
      <c r="J36" s="440">
        <v>0</v>
      </c>
      <c r="K36" s="440">
        <v>0</v>
      </c>
      <c r="L36" s="440">
        <v>0</v>
      </c>
      <c r="M36" s="440">
        <v>0</v>
      </c>
      <c r="N36" s="440">
        <v>0</v>
      </c>
      <c r="O36" s="440">
        <v>0</v>
      </c>
      <c r="P36" s="440">
        <v>0</v>
      </c>
    </row>
    <row r="37" spans="1:16" x14ac:dyDescent="0.25">
      <c r="A37" s="394" t="s">
        <v>1630</v>
      </c>
      <c r="B37" s="408" t="s">
        <v>1638</v>
      </c>
      <c r="C37" s="440">
        <v>0</v>
      </c>
      <c r="D37" s="440">
        <v>0</v>
      </c>
      <c r="E37" s="440">
        <v>0</v>
      </c>
      <c r="F37" s="440">
        <v>0</v>
      </c>
      <c r="G37" s="440">
        <v>0</v>
      </c>
      <c r="H37" s="440">
        <v>0</v>
      </c>
      <c r="I37" s="440">
        <v>0</v>
      </c>
      <c r="J37" s="440">
        <v>0</v>
      </c>
      <c r="K37" s="440">
        <v>0</v>
      </c>
      <c r="L37" s="440">
        <v>0</v>
      </c>
      <c r="M37" s="440">
        <v>0</v>
      </c>
      <c r="N37" s="440">
        <v>0</v>
      </c>
      <c r="O37" s="440">
        <v>0</v>
      </c>
      <c r="P37" s="440">
        <v>0</v>
      </c>
    </row>
    <row r="38" spans="1:16" x14ac:dyDescent="0.25">
      <c r="A38" s="394" t="s">
        <v>1639</v>
      </c>
      <c r="B38" s="409" t="s">
        <v>1640</v>
      </c>
      <c r="C38" s="440">
        <f>-C16</f>
        <v>142020232589</v>
      </c>
      <c r="D38" s="440">
        <f t="shared" ref="D38:P38" si="9">-D16</f>
        <v>251350417215</v>
      </c>
      <c r="E38" s="440">
        <f t="shared" si="9"/>
        <v>370723152544</v>
      </c>
      <c r="F38" s="440">
        <f t="shared" si="9"/>
        <v>765723258680</v>
      </c>
      <c r="G38" s="440">
        <f t="shared" si="9"/>
        <v>804246166893.94641</v>
      </c>
      <c r="H38" s="440">
        <f t="shared" si="9"/>
        <v>804246166893.94641</v>
      </c>
      <c r="I38" s="440">
        <f t="shared" si="9"/>
        <v>804246166893.94641</v>
      </c>
      <c r="J38" s="440">
        <f t="shared" si="9"/>
        <v>804246166893.94641</v>
      </c>
      <c r="K38" s="440">
        <f t="shared" si="9"/>
        <v>804246166893.94641</v>
      </c>
      <c r="L38" s="440">
        <f t="shared" si="9"/>
        <v>804246166893.94641</v>
      </c>
      <c r="M38" s="440">
        <f t="shared" si="9"/>
        <v>804246166893.94641</v>
      </c>
      <c r="N38" s="440">
        <f t="shared" si="9"/>
        <v>804246166893.94641</v>
      </c>
      <c r="O38" s="440">
        <f t="shared" si="9"/>
        <v>804246166893.94641</v>
      </c>
      <c r="P38" s="440">
        <f t="shared" si="9"/>
        <v>804246166893.94641</v>
      </c>
    </row>
    <row r="39" spans="1:16" x14ac:dyDescent="0.25">
      <c r="A39" s="394" t="s">
        <v>1639</v>
      </c>
      <c r="B39" s="409" t="s">
        <v>1641</v>
      </c>
      <c r="C39" s="440">
        <f>-C17</f>
        <v>109330184626</v>
      </c>
      <c r="D39" s="440">
        <f t="shared" ref="D39:P39" si="10">-D17</f>
        <v>119372735329</v>
      </c>
      <c r="E39" s="440">
        <f t="shared" si="10"/>
        <v>395000106136</v>
      </c>
      <c r="F39" s="440">
        <f t="shared" si="10"/>
        <v>38522908213.946457</v>
      </c>
      <c r="G39" s="440">
        <f t="shared" si="10"/>
        <v>0</v>
      </c>
      <c r="H39" s="440">
        <f t="shared" si="10"/>
        <v>0</v>
      </c>
      <c r="I39" s="440">
        <f t="shared" si="10"/>
        <v>0</v>
      </c>
      <c r="J39" s="440">
        <f t="shared" si="10"/>
        <v>0</v>
      </c>
      <c r="K39" s="440">
        <f t="shared" si="10"/>
        <v>0</v>
      </c>
      <c r="L39" s="440">
        <f t="shared" si="10"/>
        <v>0</v>
      </c>
      <c r="M39" s="440">
        <f t="shared" si="10"/>
        <v>0</v>
      </c>
      <c r="N39" s="440">
        <f t="shared" si="10"/>
        <v>0</v>
      </c>
      <c r="O39" s="440">
        <f t="shared" si="10"/>
        <v>0</v>
      </c>
      <c r="P39" s="440">
        <f t="shared" si="10"/>
        <v>0</v>
      </c>
    </row>
    <row r="40" spans="1:16" x14ac:dyDescent="0.25">
      <c r="A40" s="394" t="s">
        <v>1639</v>
      </c>
      <c r="B40" s="408" t="s">
        <v>1655</v>
      </c>
      <c r="C40" s="440">
        <v>1110000000</v>
      </c>
      <c r="D40" s="440">
        <v>0</v>
      </c>
      <c r="E40" s="440">
        <v>0</v>
      </c>
      <c r="F40" s="440">
        <v>0</v>
      </c>
      <c r="G40" s="440">
        <v>0</v>
      </c>
      <c r="H40" s="440">
        <v>0</v>
      </c>
      <c r="I40" s="440">
        <v>0</v>
      </c>
      <c r="J40" s="440">
        <v>0</v>
      </c>
      <c r="K40" s="440">
        <v>0</v>
      </c>
      <c r="L40" s="440">
        <v>0</v>
      </c>
      <c r="M40" s="440">
        <v>0</v>
      </c>
      <c r="N40" s="440">
        <v>0</v>
      </c>
      <c r="O40" s="440">
        <v>0</v>
      </c>
      <c r="P40" s="440">
        <v>0</v>
      </c>
    </row>
    <row r="41" spans="1:16" x14ac:dyDescent="0.25">
      <c r="A41" s="394" t="s">
        <v>1639</v>
      </c>
      <c r="B41" s="408" t="s">
        <v>1656</v>
      </c>
      <c r="C41" s="440">
        <v>0</v>
      </c>
      <c r="D41" s="440">
        <v>0</v>
      </c>
      <c r="E41" s="440">
        <v>0</v>
      </c>
      <c r="F41" s="440">
        <v>0</v>
      </c>
      <c r="G41" s="440">
        <v>0</v>
      </c>
      <c r="H41" s="440">
        <v>0</v>
      </c>
      <c r="I41" s="440">
        <v>0</v>
      </c>
      <c r="J41" s="440">
        <v>0</v>
      </c>
      <c r="K41" s="440">
        <v>0</v>
      </c>
      <c r="L41" s="440">
        <v>0</v>
      </c>
      <c r="M41" s="440">
        <v>0</v>
      </c>
      <c r="N41" s="440">
        <v>0</v>
      </c>
      <c r="O41" s="440">
        <v>0</v>
      </c>
      <c r="P41" s="440">
        <v>0</v>
      </c>
    </row>
    <row r="42" spans="1:16" x14ac:dyDescent="0.25">
      <c r="A42" s="394" t="s">
        <v>1639</v>
      </c>
      <c r="B42" s="408" t="s">
        <v>1657</v>
      </c>
      <c r="C42" s="440">
        <v>0</v>
      </c>
      <c r="D42" s="440">
        <v>0</v>
      </c>
      <c r="E42" s="440">
        <v>0</v>
      </c>
      <c r="F42" s="440">
        <v>0</v>
      </c>
      <c r="G42" s="440">
        <v>0</v>
      </c>
      <c r="H42" s="440">
        <v>0</v>
      </c>
      <c r="I42" s="440">
        <v>0</v>
      </c>
      <c r="J42" s="440">
        <v>0</v>
      </c>
      <c r="K42" s="440">
        <v>0</v>
      </c>
      <c r="L42" s="440">
        <v>0</v>
      </c>
      <c r="M42" s="440">
        <v>0</v>
      </c>
      <c r="N42" s="440">
        <v>0</v>
      </c>
      <c r="O42" s="440">
        <v>0</v>
      </c>
      <c r="P42" s="440">
        <v>0</v>
      </c>
    </row>
    <row r="43" spans="1:16" x14ac:dyDescent="0.25">
      <c r="A43" s="394" t="s">
        <v>1639</v>
      </c>
      <c r="B43" s="408" t="s">
        <v>909</v>
      </c>
      <c r="C43" s="440">
        <f>+PRY!D33</f>
        <v>21334102573</v>
      </c>
      <c r="D43" s="440">
        <f>+PRY!E33</f>
        <v>21104130223</v>
      </c>
      <c r="E43" s="440">
        <f>+PRY!F33</f>
        <v>21852000000</v>
      </c>
      <c r="F43" s="440">
        <f>+PRY!G33</f>
        <v>21852000000</v>
      </c>
      <c r="G43" s="440">
        <f>+PRY!H33</f>
        <v>21852000000</v>
      </c>
      <c r="H43" s="440">
        <f>+PRY!I33</f>
        <v>21852000000</v>
      </c>
      <c r="I43" s="440">
        <f>+PRY!J33</f>
        <v>21852000000</v>
      </c>
      <c r="J43" s="440">
        <f>+PRY!K33</f>
        <v>21852000000</v>
      </c>
      <c r="K43" s="440">
        <f>+PRY!L33</f>
        <v>21852000000</v>
      </c>
      <c r="L43" s="440">
        <f>+PRY!M33</f>
        <v>21852000000</v>
      </c>
      <c r="M43" s="440">
        <f>+PRY!N33</f>
        <v>21852000000</v>
      </c>
      <c r="N43" s="440">
        <f>+PRY!O33</f>
        <v>21852000000</v>
      </c>
      <c r="O43" s="440">
        <f>+PRY!P33</f>
        <v>21852000000</v>
      </c>
      <c r="P43" s="440">
        <f>+PRY!Q33</f>
        <v>21852000000</v>
      </c>
    </row>
    <row r="44" spans="1:16" x14ac:dyDescent="0.25">
      <c r="A44" s="394" t="s">
        <v>1639</v>
      </c>
      <c r="B44" s="408" t="s">
        <v>1658</v>
      </c>
      <c r="C44" s="440">
        <v>0</v>
      </c>
      <c r="D44" s="440">
        <v>0</v>
      </c>
      <c r="E44" s="440">
        <v>0</v>
      </c>
      <c r="F44" s="440">
        <v>0</v>
      </c>
      <c r="G44" s="440">
        <v>0</v>
      </c>
      <c r="H44" s="440">
        <v>0</v>
      </c>
      <c r="I44" s="440">
        <v>0</v>
      </c>
      <c r="J44" s="440">
        <v>0</v>
      </c>
      <c r="K44" s="440">
        <v>0</v>
      </c>
      <c r="L44" s="440">
        <v>0</v>
      </c>
      <c r="M44" s="440">
        <v>0</v>
      </c>
      <c r="N44" s="440">
        <v>0</v>
      </c>
      <c r="O44" s="440">
        <v>0</v>
      </c>
      <c r="P44" s="440">
        <v>0</v>
      </c>
    </row>
    <row r="45" spans="1:16" ht="15.75" thickBot="1" x14ac:dyDescent="0.3">
      <c r="A45" s="394" t="s">
        <v>1639</v>
      </c>
      <c r="B45" s="410" t="s">
        <v>1659</v>
      </c>
      <c r="C45" s="440">
        <v>0</v>
      </c>
      <c r="D45" s="440">
        <v>0</v>
      </c>
      <c r="E45" s="440">
        <v>0</v>
      </c>
      <c r="F45" s="440">
        <v>0</v>
      </c>
      <c r="G45" s="440">
        <v>0</v>
      </c>
      <c r="H45" s="440">
        <v>0</v>
      </c>
      <c r="I45" s="440">
        <v>0</v>
      </c>
      <c r="J45" s="440">
        <v>0</v>
      </c>
      <c r="K45" s="440">
        <v>0</v>
      </c>
      <c r="L45" s="440">
        <v>0</v>
      </c>
      <c r="M45" s="440">
        <v>0</v>
      </c>
      <c r="N45" s="440">
        <v>0</v>
      </c>
      <c r="O45" s="440">
        <v>0</v>
      </c>
      <c r="P45" s="440">
        <v>0</v>
      </c>
    </row>
    <row r="46" spans="1:16" ht="16.5" thickBot="1" x14ac:dyDescent="0.3">
      <c r="A46" s="394" t="s">
        <v>1642</v>
      </c>
      <c r="B46" s="411" t="s">
        <v>1660</v>
      </c>
      <c r="C46" s="432">
        <f>+SUM(C27:C37)-SUM(C38:C45)</f>
        <v>-191942519788</v>
      </c>
      <c r="D46" s="432">
        <f t="shared" ref="D46:P46" si="11">+SUM(D27:D37)-SUM(D38:D45)</f>
        <v>-309975282767</v>
      </c>
      <c r="E46" s="432">
        <f t="shared" si="11"/>
        <v>-705723258680</v>
      </c>
      <c r="F46" s="432">
        <f t="shared" si="11"/>
        <v>-744246166893.94641</v>
      </c>
      <c r="G46" s="432">
        <f t="shared" si="11"/>
        <v>-620348229205.01331</v>
      </c>
      <c r="H46" s="432">
        <f t="shared" si="11"/>
        <v>-596426599266.06616</v>
      </c>
      <c r="I46" s="432">
        <f t="shared" si="11"/>
        <v>-603606321827.11304</v>
      </c>
      <c r="J46" s="432">
        <f t="shared" si="11"/>
        <v>-559371746550.08447</v>
      </c>
      <c r="K46" s="432">
        <f t="shared" si="11"/>
        <v>-395512554943.74792</v>
      </c>
      <c r="L46" s="432">
        <f t="shared" si="11"/>
        <v>-304938587734.82935</v>
      </c>
      <c r="M46" s="432">
        <f t="shared" si="11"/>
        <v>-224241537345.22473</v>
      </c>
      <c r="N46" s="432">
        <f t="shared" si="11"/>
        <v>-136754089907.03369</v>
      </c>
      <c r="O46" s="432">
        <f t="shared" si="11"/>
        <v>-46304666009.315308</v>
      </c>
      <c r="P46" s="432">
        <f t="shared" si="11"/>
        <v>40592711006.062744</v>
      </c>
    </row>
    <row r="47" spans="1:16" ht="16.5" thickBot="1" x14ac:dyDescent="0.3">
      <c r="A47" s="392"/>
      <c r="B47" s="412"/>
    </row>
    <row r="48" spans="1:16" ht="16.5" thickBot="1" x14ac:dyDescent="0.3">
      <c r="A48" s="392"/>
      <c r="B48" s="413" t="s">
        <v>1661</v>
      </c>
      <c r="C48" s="393">
        <v>2015</v>
      </c>
      <c r="D48" s="393">
        <v>2016</v>
      </c>
      <c r="E48" s="393">
        <v>2017</v>
      </c>
      <c r="F48" s="393">
        <v>2018</v>
      </c>
      <c r="G48" s="393">
        <v>2019</v>
      </c>
      <c r="H48" s="393">
        <v>2020</v>
      </c>
      <c r="I48" s="393">
        <v>2021</v>
      </c>
      <c r="J48" s="393">
        <v>2022</v>
      </c>
      <c r="K48" s="393">
        <v>2023</v>
      </c>
      <c r="L48" s="393">
        <v>2024</v>
      </c>
      <c r="M48" s="393">
        <v>2025</v>
      </c>
      <c r="N48" s="393">
        <v>2026</v>
      </c>
      <c r="O48" s="393">
        <v>2027</v>
      </c>
      <c r="P48" s="393">
        <v>2028</v>
      </c>
    </row>
    <row r="49" spans="1:16" x14ac:dyDescent="0.25">
      <c r="A49" s="394" t="s">
        <v>1630</v>
      </c>
      <c r="B49" s="414" t="s">
        <v>1662</v>
      </c>
      <c r="C49" s="440">
        <v>0</v>
      </c>
      <c r="D49" s="440">
        <v>0</v>
      </c>
      <c r="E49" s="440">
        <v>0</v>
      </c>
      <c r="F49" s="440">
        <v>0</v>
      </c>
      <c r="G49" s="440">
        <v>0</v>
      </c>
      <c r="H49" s="440">
        <v>0</v>
      </c>
      <c r="I49" s="440">
        <v>0</v>
      </c>
      <c r="J49" s="440">
        <v>0</v>
      </c>
      <c r="K49" s="440">
        <v>0</v>
      </c>
      <c r="L49" s="440">
        <v>0</v>
      </c>
      <c r="M49" s="440">
        <v>0</v>
      </c>
      <c r="N49" s="440">
        <v>0</v>
      </c>
      <c r="O49" s="440">
        <v>0</v>
      </c>
      <c r="P49" s="440">
        <v>0</v>
      </c>
    </row>
    <row r="50" spans="1:16" x14ac:dyDescent="0.25">
      <c r="A50" s="394" t="s">
        <v>1630</v>
      </c>
      <c r="B50" s="415" t="s">
        <v>1663</v>
      </c>
      <c r="C50" s="440">
        <v>0</v>
      </c>
      <c r="D50" s="440">
        <v>0</v>
      </c>
      <c r="E50" s="440">
        <v>0</v>
      </c>
      <c r="F50" s="440">
        <v>0</v>
      </c>
      <c r="G50" s="440">
        <v>0</v>
      </c>
      <c r="H50" s="440">
        <v>0</v>
      </c>
      <c r="I50" s="440">
        <v>0</v>
      </c>
      <c r="J50" s="440">
        <v>0</v>
      </c>
      <c r="K50" s="440">
        <v>0</v>
      </c>
      <c r="L50" s="440">
        <v>0</v>
      </c>
      <c r="M50" s="440">
        <v>0</v>
      </c>
      <c r="N50" s="440">
        <v>0</v>
      </c>
      <c r="O50" s="440">
        <v>0</v>
      </c>
      <c r="P50" s="440">
        <v>0</v>
      </c>
    </row>
    <row r="51" spans="1:16" x14ac:dyDescent="0.25">
      <c r="A51" s="394" t="s">
        <v>1630</v>
      </c>
      <c r="B51" s="405" t="s">
        <v>1664</v>
      </c>
      <c r="C51" s="440">
        <v>0</v>
      </c>
      <c r="D51" s="440">
        <v>0</v>
      </c>
      <c r="E51" s="440">
        <v>0</v>
      </c>
      <c r="F51" s="440">
        <v>0</v>
      </c>
      <c r="G51" s="440">
        <v>0</v>
      </c>
      <c r="H51" s="440">
        <v>0</v>
      </c>
      <c r="I51" s="440">
        <v>0</v>
      </c>
      <c r="J51" s="440">
        <f>+PRY!K57</f>
        <v>14234575277.028671</v>
      </c>
      <c r="K51" s="440">
        <f>+PRY!L57</f>
        <v>39859191606.336472</v>
      </c>
      <c r="L51" s="440">
        <f>+PRY!M57</f>
        <v>60573967208.918594</v>
      </c>
      <c r="M51" s="440">
        <f>+PRY!N57</f>
        <v>80697050389.604568</v>
      </c>
      <c r="N51" s="440">
        <f>+PRY!O57</f>
        <v>87487447438.191071</v>
      </c>
      <c r="O51" s="440">
        <f>+PRY!P57</f>
        <v>90449423897.718399</v>
      </c>
      <c r="P51" s="440">
        <f>+PRY!Q57</f>
        <v>86897377015.378036</v>
      </c>
    </row>
    <row r="52" spans="1:16" ht="28.5" x14ac:dyDescent="0.25">
      <c r="A52" s="394" t="s">
        <v>1630</v>
      </c>
      <c r="B52" s="408" t="s">
        <v>1665</v>
      </c>
      <c r="C52" s="440">
        <v>0</v>
      </c>
      <c r="D52" s="440">
        <v>0</v>
      </c>
      <c r="E52" s="440">
        <v>0</v>
      </c>
      <c r="F52" s="440">
        <v>0</v>
      </c>
      <c r="G52" s="440">
        <v>0</v>
      </c>
      <c r="H52" s="440">
        <v>0</v>
      </c>
      <c r="I52" s="440">
        <v>0</v>
      </c>
      <c r="J52" s="440">
        <v>0</v>
      </c>
      <c r="K52" s="440">
        <v>0</v>
      </c>
      <c r="L52" s="440">
        <v>0</v>
      </c>
      <c r="M52" s="440">
        <v>0</v>
      </c>
      <c r="N52" s="440">
        <v>0</v>
      </c>
      <c r="O52" s="440">
        <v>0</v>
      </c>
      <c r="P52" s="440">
        <v>0</v>
      </c>
    </row>
    <row r="53" spans="1:16" ht="28.5" x14ac:dyDescent="0.25">
      <c r="A53" s="394" t="s">
        <v>1639</v>
      </c>
      <c r="B53" s="408" t="s">
        <v>1666</v>
      </c>
      <c r="C53" s="440">
        <v>0</v>
      </c>
      <c r="D53" s="440">
        <v>0</v>
      </c>
      <c r="E53" s="440">
        <v>0</v>
      </c>
      <c r="F53" s="440">
        <v>0</v>
      </c>
      <c r="G53" s="440">
        <v>0</v>
      </c>
      <c r="H53" s="440">
        <v>0</v>
      </c>
      <c r="I53" s="440">
        <v>0</v>
      </c>
      <c r="J53" s="440">
        <v>0</v>
      </c>
      <c r="K53" s="440">
        <v>0</v>
      </c>
      <c r="L53" s="440">
        <v>0</v>
      </c>
      <c r="M53" s="440">
        <v>0</v>
      </c>
      <c r="N53" s="440">
        <v>0</v>
      </c>
      <c r="O53" s="440">
        <v>0</v>
      </c>
      <c r="P53" s="440">
        <v>0</v>
      </c>
    </row>
    <row r="54" spans="1:16" ht="29.25" thickBot="1" x14ac:dyDescent="0.3">
      <c r="A54" s="394" t="s">
        <v>1630</v>
      </c>
      <c r="B54" s="410" t="s">
        <v>1667</v>
      </c>
      <c r="C54" s="440">
        <v>0</v>
      </c>
      <c r="D54" s="440">
        <v>0</v>
      </c>
      <c r="E54" s="440">
        <v>0</v>
      </c>
      <c r="F54" s="440">
        <v>0</v>
      </c>
      <c r="G54" s="440">
        <v>0</v>
      </c>
      <c r="H54" s="440">
        <v>0</v>
      </c>
      <c r="I54" s="440">
        <v>0</v>
      </c>
      <c r="J54" s="440">
        <v>0</v>
      </c>
      <c r="K54" s="440">
        <v>0</v>
      </c>
      <c r="L54" s="440">
        <v>0</v>
      </c>
      <c r="M54" s="440">
        <v>0</v>
      </c>
      <c r="N54" s="440">
        <v>0</v>
      </c>
      <c r="O54" s="440">
        <v>0</v>
      </c>
      <c r="P54" s="440">
        <v>0</v>
      </c>
    </row>
    <row r="55" spans="1:16" ht="16.5" thickBot="1" x14ac:dyDescent="0.3">
      <c r="A55" s="394" t="s">
        <v>1642</v>
      </c>
      <c r="B55" s="416" t="s">
        <v>1668</v>
      </c>
      <c r="C55" s="434">
        <f>+SUM(C49:C52)+C54-C53</f>
        <v>0</v>
      </c>
      <c r="D55" s="434">
        <f t="shared" ref="D55:P55" si="12">+SUM(D49:D52)+D54-D53</f>
        <v>0</v>
      </c>
      <c r="E55" s="434">
        <f t="shared" si="12"/>
        <v>0</v>
      </c>
      <c r="F55" s="434">
        <f t="shared" si="12"/>
        <v>0</v>
      </c>
      <c r="G55" s="434">
        <f t="shared" si="12"/>
        <v>0</v>
      </c>
      <c r="H55" s="434">
        <f t="shared" si="12"/>
        <v>0</v>
      </c>
      <c r="I55" s="434">
        <f t="shared" si="12"/>
        <v>0</v>
      </c>
      <c r="J55" s="434">
        <f t="shared" si="12"/>
        <v>14234575277.028671</v>
      </c>
      <c r="K55" s="434">
        <f t="shared" si="12"/>
        <v>39859191606.336472</v>
      </c>
      <c r="L55" s="434">
        <f t="shared" si="12"/>
        <v>60573967208.918594</v>
      </c>
      <c r="M55" s="434">
        <f t="shared" si="12"/>
        <v>80697050389.604568</v>
      </c>
      <c r="N55" s="434">
        <f t="shared" si="12"/>
        <v>87487447438.191071</v>
      </c>
      <c r="O55" s="434">
        <f t="shared" si="12"/>
        <v>90449423897.718399</v>
      </c>
      <c r="P55" s="434">
        <f t="shared" si="12"/>
        <v>86897377015.378036</v>
      </c>
    </row>
    <row r="56" spans="1:16" ht="16.5" thickBot="1" x14ac:dyDescent="0.3">
      <c r="A56" s="392"/>
      <c r="B56" s="417"/>
    </row>
    <row r="57" spans="1:16" ht="16.5" thickBot="1" x14ac:dyDescent="0.3">
      <c r="A57" s="418"/>
      <c r="B57" s="419" t="s">
        <v>1669</v>
      </c>
      <c r="C57" s="393">
        <v>2015</v>
      </c>
      <c r="D57" s="393">
        <v>2016</v>
      </c>
      <c r="E57" s="393">
        <v>2017</v>
      </c>
      <c r="F57" s="393">
        <v>2018</v>
      </c>
      <c r="G57" s="393">
        <v>2019</v>
      </c>
      <c r="H57" s="393">
        <v>2020</v>
      </c>
      <c r="I57" s="393">
        <v>2021</v>
      </c>
      <c r="J57" s="393">
        <v>2022</v>
      </c>
      <c r="K57" s="393">
        <v>2023</v>
      </c>
      <c r="L57" s="393">
        <v>2024</v>
      </c>
      <c r="M57" s="393">
        <v>2025</v>
      </c>
      <c r="N57" s="393">
        <v>2026</v>
      </c>
      <c r="O57" s="393">
        <v>2027</v>
      </c>
      <c r="P57" s="393">
        <v>2028</v>
      </c>
    </row>
    <row r="58" spans="1:16" ht="16.5" thickBot="1" x14ac:dyDescent="0.3">
      <c r="A58" s="418"/>
      <c r="B58" s="420" t="s">
        <v>1670</v>
      </c>
      <c r="C58" s="432">
        <f>+SUM(C59:C65)</f>
        <v>1105522716375</v>
      </c>
      <c r="D58" s="432">
        <f t="shared" ref="D58:P58" si="13">+SUM(D59:D65)</f>
        <v>1263109397894</v>
      </c>
      <c r="E58" s="432">
        <f t="shared" si="13"/>
        <v>1382678696054</v>
      </c>
      <c r="F58" s="432">
        <f t="shared" si="13"/>
        <v>1546645557712.9558</v>
      </c>
      <c r="G58" s="432">
        <f t="shared" si="13"/>
        <v>1665528113056.0515</v>
      </c>
      <c r="H58" s="432">
        <f t="shared" si="13"/>
        <v>1789350674695.1624</v>
      </c>
      <c r="I58" s="432">
        <f t="shared" si="13"/>
        <v>1852054889158.7629</v>
      </c>
      <c r="J58" s="432">
        <f t="shared" si="13"/>
        <v>1919335377473.1924</v>
      </c>
      <c r="K58" s="432">
        <f t="shared" si="13"/>
        <v>1986800015991.3748</v>
      </c>
      <c r="L58" s="432">
        <f t="shared" si="13"/>
        <v>2056636036553.4714</v>
      </c>
      <c r="M58" s="432">
        <f t="shared" si="13"/>
        <v>2128926793238.3254</v>
      </c>
      <c r="N58" s="432">
        <f t="shared" si="13"/>
        <v>2203758570020.6523</v>
      </c>
      <c r="O58" s="432">
        <f t="shared" si="13"/>
        <v>2281220683756.8784</v>
      </c>
      <c r="P58" s="432">
        <f t="shared" si="13"/>
        <v>2292626787175.6626</v>
      </c>
    </row>
    <row r="59" spans="1:16" x14ac:dyDescent="0.25">
      <c r="A59" s="394" t="s">
        <v>1630</v>
      </c>
      <c r="B59" s="421" t="s">
        <v>1671</v>
      </c>
      <c r="C59" s="440">
        <f>+SUM(PRY!D63:D64)</f>
        <v>1095179121198</v>
      </c>
      <c r="D59" s="440">
        <f>+SUM(PRY!E63:E64)</f>
        <v>1250903657915</v>
      </c>
      <c r="E59" s="440">
        <f>+SUM(PRY!F63:F64)</f>
        <v>1368479932761</v>
      </c>
      <c r="F59" s="440">
        <f>+SUM(PRY!G63:G64)</f>
        <v>1525543000000</v>
      </c>
      <c r="G59" s="440">
        <f>+SUM(PRY!H63:H64)</f>
        <v>1644091496083</v>
      </c>
      <c r="H59" s="440">
        <f>+SUM(PRY!I63:I64)</f>
        <v>1768845158805.7781</v>
      </c>
      <c r="I59" s="440">
        <f>+SUM(PRY!J63:J64)</f>
        <v>1831020066137.801</v>
      </c>
      <c r="J59" s="440">
        <f>+SUM(PRY!K63:K64)</f>
        <v>1895380421462.5444</v>
      </c>
      <c r="K59" s="440">
        <f>+SUM(PRY!L63:L64)</f>
        <v>1962003043276.9526</v>
      </c>
      <c r="L59" s="440">
        <f>+SUM(PRY!M63:M64)</f>
        <v>2030967450248.1372</v>
      </c>
      <c r="M59" s="440">
        <f>+SUM(PRY!N63:N64)</f>
        <v>2102355956124.3591</v>
      </c>
      <c r="N59" s="440">
        <f>+SUM(PRY!O63:O64)</f>
        <v>2176253767982.1299</v>
      </c>
      <c r="O59" s="440">
        <f>+SUM(PRY!P63:P64)</f>
        <v>2252749087926.7017</v>
      </c>
      <c r="P59" s="440">
        <f>+SUM(PRY!Q63:Q64)</f>
        <v>2264012833366.335</v>
      </c>
    </row>
    <row r="60" spans="1:16" x14ac:dyDescent="0.25">
      <c r="A60" s="394" t="s">
        <v>1630</v>
      </c>
      <c r="B60" s="407" t="s">
        <v>1672</v>
      </c>
      <c r="C60" s="440"/>
      <c r="D60" s="440"/>
      <c r="E60" s="440"/>
      <c r="F60" s="440"/>
      <c r="G60" s="440"/>
      <c r="H60" s="440"/>
      <c r="I60" s="440"/>
      <c r="J60" s="440"/>
      <c r="K60" s="440"/>
      <c r="L60" s="440"/>
      <c r="M60" s="440"/>
      <c r="N60" s="440"/>
      <c r="O60" s="440"/>
      <c r="P60" s="440"/>
    </row>
    <row r="61" spans="1:16" x14ac:dyDescent="0.25">
      <c r="A61" s="394" t="s">
        <v>1630</v>
      </c>
      <c r="B61" s="407" t="s">
        <v>1673</v>
      </c>
      <c r="C61" s="440">
        <f>+PRY!D65</f>
        <v>0</v>
      </c>
      <c r="D61" s="440">
        <f>+PRY!E65</f>
        <v>0</v>
      </c>
      <c r="E61" s="440">
        <f>+PRY!F65</f>
        <v>221221496</v>
      </c>
      <c r="F61" s="440">
        <f>+PRY!G65</f>
        <v>246611511.49760276</v>
      </c>
      <c r="G61" s="440">
        <f>+PRY!H65</f>
        <v>265775457.58420688</v>
      </c>
      <c r="H61" s="440">
        <f>+PRY!I65</f>
        <v>285942499.30569649</v>
      </c>
      <c r="I61" s="440">
        <f>+PRY!J65</f>
        <v>293323508.63607228</v>
      </c>
      <c r="J61" s="440">
        <f>+PRY!K65</f>
        <v>303633829.96463025</v>
      </c>
      <c r="K61" s="440">
        <f>+PRY!L65</f>
        <v>314306559.08788693</v>
      </c>
      <c r="L61" s="440">
        <f>+PRY!M65</f>
        <v>325354434.63982606</v>
      </c>
      <c r="M61" s="440">
        <f>+PRY!N65</f>
        <v>336790643.01741594</v>
      </c>
      <c r="N61" s="440">
        <f>+PRY!O65</f>
        <v>348628834.11947805</v>
      </c>
      <c r="O61" s="440">
        <f>+PRY!P65</f>
        <v>360883137.63877767</v>
      </c>
      <c r="P61" s="440">
        <f>+PRY!Q65</f>
        <v>362687553.32697159</v>
      </c>
    </row>
    <row r="62" spans="1:16" x14ac:dyDescent="0.25">
      <c r="A62" s="394" t="s">
        <v>1630</v>
      </c>
      <c r="B62" s="407" t="s">
        <v>1674</v>
      </c>
      <c r="C62" s="440">
        <f>+PRY!D66</f>
        <v>3752703650</v>
      </c>
      <c r="D62" s="440">
        <f>+PRY!E66</f>
        <v>3229138644</v>
      </c>
      <c r="E62" s="440">
        <f>+PRY!F66</f>
        <v>3415028835</v>
      </c>
      <c r="F62" s="440">
        <f>+PRY!G66</f>
        <v>3806978245.9442706</v>
      </c>
      <c r="G62" s="440">
        <f>+PRY!H66</f>
        <v>4737424965.1078749</v>
      </c>
      <c r="H62" s="440">
        <f>+PRY!I66</f>
        <v>5096900771.4602604</v>
      </c>
      <c r="I62" s="440">
        <f>+PRY!J66</f>
        <v>5228466636.0711336</v>
      </c>
      <c r="J62" s="440">
        <f>+PRY!K66</f>
        <v>5412247238.3290339</v>
      </c>
      <c r="K62" s="440">
        <f>+PRY!L66</f>
        <v>5602487728.7562981</v>
      </c>
      <c r="L62" s="440">
        <f>+PRY!M66</f>
        <v>5799415172.422081</v>
      </c>
      <c r="M62" s="440">
        <f>+PRY!N66</f>
        <v>6003264615.7327166</v>
      </c>
      <c r="N62" s="440">
        <f>+PRY!O66</f>
        <v>6214279366.9757204</v>
      </c>
      <c r="O62" s="440">
        <f>+PRY!P66</f>
        <v>6432711286.7249174</v>
      </c>
      <c r="P62" s="440">
        <f>+PRY!Q66</f>
        <v>6464874843.1585417</v>
      </c>
    </row>
    <row r="63" spans="1:16" x14ac:dyDescent="0.25">
      <c r="A63" s="394" t="s">
        <v>1630</v>
      </c>
      <c r="B63" s="407" t="s">
        <v>15</v>
      </c>
      <c r="C63" s="440">
        <f>+PRY!D67</f>
        <v>53482782</v>
      </c>
      <c r="D63" s="440">
        <f>+PRY!E67</f>
        <v>105908555</v>
      </c>
      <c r="E63" s="440">
        <f>+PRY!F67</f>
        <v>1974759539</v>
      </c>
      <c r="F63" s="440">
        <f>+PRY!G67</f>
        <v>4830581597.0076685</v>
      </c>
      <c r="G63" s="440">
        <f>+PRY!H67</f>
        <v>6941282000.1580601</v>
      </c>
      <c r="H63" s="440">
        <f>+PRY!I67</f>
        <v>5600989858.7475395</v>
      </c>
      <c r="I63" s="440">
        <f>+PRY!J67</f>
        <v>5745567731.9463015</v>
      </c>
      <c r="J63" s="440">
        <f>+PRY!K67</f>
        <v>5947524437.7242136</v>
      </c>
      <c r="K63" s="440">
        <f>+PRY!L67</f>
        <v>6156579921.7102184</v>
      </c>
      <c r="L63" s="440">
        <f>+PRY!M67</f>
        <v>6372983705.9583311</v>
      </c>
      <c r="M63" s="440">
        <f>+PRY!N67</f>
        <v>6596994083.2227669</v>
      </c>
      <c r="N63" s="440">
        <f>+PRY!O67</f>
        <v>6828878425.2480459</v>
      </c>
      <c r="O63" s="440">
        <f>+PRY!P67</f>
        <v>7068913501.8955135</v>
      </c>
      <c r="P63" s="440">
        <f>+PRY!Q67</f>
        <v>7104258069.4049911</v>
      </c>
    </row>
    <row r="64" spans="1:16" x14ac:dyDescent="0.25">
      <c r="A64" s="394" t="s">
        <v>1630</v>
      </c>
      <c r="B64" s="407" t="s">
        <v>1675</v>
      </c>
      <c r="C64" s="440">
        <f>+PRY!D68</f>
        <v>6537408745</v>
      </c>
      <c r="D64" s="440">
        <f>+PRY!E68</f>
        <v>8870692780</v>
      </c>
      <c r="E64" s="440">
        <f>+PRY!F68</f>
        <v>8587753423</v>
      </c>
      <c r="F64" s="440">
        <f>+PRY!G68</f>
        <v>12218386358.506237</v>
      </c>
      <c r="G64" s="440">
        <f>+PRY!H68</f>
        <v>9492134550.2015266</v>
      </c>
      <c r="H64" s="440">
        <f>+PRY!I68</f>
        <v>9521682759.8708172</v>
      </c>
      <c r="I64" s="440">
        <f>+PRY!J68</f>
        <v>9767465144.308712</v>
      </c>
      <c r="J64" s="440">
        <f>+PRY!K68</f>
        <v>12291550504.630039</v>
      </c>
      <c r="K64" s="440">
        <f>+PRY!L68</f>
        <v>12723598504.867785</v>
      </c>
      <c r="L64" s="440">
        <f>+PRY!M68</f>
        <v>13170832992.313883</v>
      </c>
      <c r="M64" s="440">
        <f>+PRY!N68</f>
        <v>13633787771.993717</v>
      </c>
      <c r="N64" s="440">
        <f>+PRY!O68</f>
        <v>14113015412.179293</v>
      </c>
      <c r="O64" s="440">
        <f>+PRY!P68</f>
        <v>14609087903.917395</v>
      </c>
      <c r="P64" s="440">
        <f>+PRY!Q68</f>
        <v>14682133343.436981</v>
      </c>
    </row>
    <row r="65" spans="1:16" ht="15.75" thickBot="1" x14ac:dyDescent="0.3">
      <c r="A65" s="394" t="s">
        <v>1630</v>
      </c>
      <c r="B65" s="422" t="s">
        <v>1676</v>
      </c>
      <c r="C65" s="441">
        <v>0</v>
      </c>
      <c r="D65" s="441">
        <v>0</v>
      </c>
      <c r="E65" s="441">
        <v>0</v>
      </c>
      <c r="F65" s="441">
        <v>0</v>
      </c>
      <c r="G65" s="441">
        <v>0</v>
      </c>
      <c r="H65" s="441">
        <v>0</v>
      </c>
      <c r="I65" s="441">
        <v>0</v>
      </c>
      <c r="J65" s="441">
        <v>0</v>
      </c>
      <c r="K65" s="441">
        <v>0</v>
      </c>
      <c r="L65" s="441">
        <v>0</v>
      </c>
      <c r="M65" s="441">
        <v>0</v>
      </c>
      <c r="N65" s="441">
        <v>0</v>
      </c>
      <c r="O65" s="441">
        <v>0</v>
      </c>
      <c r="P65" s="441">
        <v>0</v>
      </c>
    </row>
    <row r="66" spans="1:16" ht="16.5" thickBot="1" x14ac:dyDescent="0.3">
      <c r="A66" s="418"/>
      <c r="B66" s="443" t="s">
        <v>1677</v>
      </c>
      <c r="C66" s="434">
        <f>+C58*8%</f>
        <v>88441817310</v>
      </c>
      <c r="D66" s="434">
        <f t="shared" ref="D66:P66" si="14">+D58*8%</f>
        <v>101048751831.52</v>
      </c>
      <c r="E66" s="434">
        <f t="shared" si="14"/>
        <v>110614295684.32001</v>
      </c>
      <c r="F66" s="434">
        <f t="shared" si="14"/>
        <v>123731644617.03647</v>
      </c>
      <c r="G66" s="434">
        <f t="shared" si="14"/>
        <v>133242249044.48413</v>
      </c>
      <c r="H66" s="434">
        <f t="shared" si="14"/>
        <v>143148053975.61298</v>
      </c>
      <c r="I66" s="434">
        <f t="shared" si="14"/>
        <v>148164391132.70105</v>
      </c>
      <c r="J66" s="434">
        <f t="shared" si="14"/>
        <v>153546830197.85541</v>
      </c>
      <c r="K66" s="434">
        <f t="shared" si="14"/>
        <v>158944001279.31</v>
      </c>
      <c r="L66" s="434">
        <f t="shared" si="14"/>
        <v>164530882924.27771</v>
      </c>
      <c r="M66" s="434">
        <f t="shared" si="14"/>
        <v>170314143459.06604</v>
      </c>
      <c r="N66" s="434">
        <f t="shared" si="14"/>
        <v>176300685601.65219</v>
      </c>
      <c r="O66" s="434">
        <f t="shared" si="14"/>
        <v>182497654700.55026</v>
      </c>
      <c r="P66" s="434">
        <f t="shared" si="14"/>
        <v>183410142974.05301</v>
      </c>
    </row>
    <row r="67" spans="1:16" ht="16.5" thickBot="1" x14ac:dyDescent="0.3">
      <c r="A67" s="418"/>
      <c r="B67" s="442" t="s">
        <v>1678</v>
      </c>
      <c r="C67" s="445"/>
      <c r="D67" s="445"/>
      <c r="E67" s="445"/>
      <c r="F67" s="445"/>
      <c r="G67" s="445"/>
      <c r="H67" s="445"/>
      <c r="I67" s="445"/>
      <c r="J67" s="445"/>
      <c r="K67" s="445"/>
      <c r="L67" s="445"/>
      <c r="M67" s="445"/>
      <c r="N67" s="445"/>
      <c r="O67" s="445"/>
      <c r="P67" s="445"/>
    </row>
    <row r="68" spans="1:16" ht="15.75" thickBot="1" x14ac:dyDescent="0.3">
      <c r="A68" s="418"/>
      <c r="B68" s="395" t="s">
        <v>1679</v>
      </c>
      <c r="C68" s="440">
        <f>+PRY!D71</f>
        <v>1258660361437</v>
      </c>
      <c r="D68" s="440">
        <f>+PRY!E71</f>
        <v>1415181059075</v>
      </c>
      <c r="E68" s="440">
        <f>+PRY!F71</f>
        <v>1799539968307</v>
      </c>
      <c r="F68" s="440">
        <f>+PRY!G71</f>
        <v>1605994516712.717</v>
      </c>
      <c r="G68" s="440">
        <f>+PRY!H71</f>
        <v>1707452000000</v>
      </c>
      <c r="H68" s="440">
        <f>+PRY!I71</f>
        <v>1712147197886.7397</v>
      </c>
      <c r="I68" s="440">
        <f>+PRY!J71</f>
        <v>1854255415311.3391</v>
      </c>
      <c r="J68" s="440">
        <f>+PRY!K71</f>
        <v>1902466056109.4341</v>
      </c>
      <c r="K68" s="440">
        <f>+PRY!L71</f>
        <v>1942417843287.7319</v>
      </c>
      <c r="L68" s="440">
        <f>+PRY!M71</f>
        <v>1983208617996.7742</v>
      </c>
      <c r="M68" s="440">
        <f>+PRY!N71</f>
        <v>2034772042064.6904</v>
      </c>
      <c r="N68" s="440">
        <f>+PRY!O71</f>
        <v>2101919519452.825</v>
      </c>
      <c r="O68" s="440">
        <f>+PRY!P71</f>
        <v>2175486702633.6736</v>
      </c>
      <c r="P68" s="440">
        <f>+PRY!Q71</f>
        <v>2186364136146.8418</v>
      </c>
    </row>
    <row r="69" spans="1:16" ht="16.5" thickBot="1" x14ac:dyDescent="0.3">
      <c r="A69" s="418"/>
      <c r="B69" s="420" t="s">
        <v>1680</v>
      </c>
      <c r="C69" s="440"/>
      <c r="D69" s="440"/>
      <c r="E69" s="440"/>
      <c r="F69" s="440"/>
      <c r="G69" s="440"/>
      <c r="H69" s="440"/>
      <c r="I69" s="440"/>
      <c r="J69" s="440"/>
      <c r="K69" s="440"/>
      <c r="L69" s="440"/>
      <c r="M69" s="440"/>
      <c r="N69" s="440"/>
      <c r="O69" s="440"/>
      <c r="P69" s="440"/>
    </row>
    <row r="70" spans="1:16" ht="15.75" thickBot="1" x14ac:dyDescent="0.3">
      <c r="A70" s="418"/>
      <c r="B70" s="423" t="s">
        <v>1681</v>
      </c>
      <c r="C70" s="440">
        <v>0</v>
      </c>
      <c r="D70" s="440">
        <v>0</v>
      </c>
      <c r="E70" s="440">
        <v>0</v>
      </c>
      <c r="F70" s="440">
        <v>0</v>
      </c>
      <c r="G70" s="440">
        <v>0</v>
      </c>
      <c r="H70" s="440">
        <v>0</v>
      </c>
      <c r="I70" s="440">
        <v>0</v>
      </c>
      <c r="J70" s="440">
        <v>0</v>
      </c>
      <c r="K70" s="440">
        <v>0</v>
      </c>
      <c r="L70" s="440">
        <v>0</v>
      </c>
      <c r="M70" s="440">
        <v>0</v>
      </c>
      <c r="N70" s="440">
        <v>0</v>
      </c>
      <c r="O70" s="440">
        <v>0</v>
      </c>
      <c r="P70" s="440">
        <v>0</v>
      </c>
    </row>
    <row r="71" spans="1:16" ht="16.5" thickBot="1" x14ac:dyDescent="0.3">
      <c r="A71" s="418"/>
      <c r="B71" s="424" t="s">
        <v>1682</v>
      </c>
      <c r="C71" s="440"/>
      <c r="D71" s="440"/>
      <c r="E71" s="440"/>
      <c r="F71" s="440"/>
      <c r="G71" s="440"/>
      <c r="H71" s="440"/>
      <c r="I71" s="440"/>
      <c r="J71" s="440"/>
      <c r="K71" s="440"/>
      <c r="L71" s="440"/>
      <c r="M71" s="440"/>
      <c r="N71" s="440"/>
      <c r="O71" s="440"/>
      <c r="P71" s="440"/>
    </row>
    <row r="72" spans="1:16" ht="15.75" thickBot="1" x14ac:dyDescent="0.3">
      <c r="A72" s="418"/>
      <c r="B72" s="425" t="s">
        <v>1683</v>
      </c>
      <c r="C72" s="440">
        <v>0</v>
      </c>
      <c r="D72" s="440">
        <v>0</v>
      </c>
      <c r="E72" s="440">
        <v>0</v>
      </c>
      <c r="F72" s="440">
        <v>0</v>
      </c>
      <c r="G72" s="440">
        <v>0</v>
      </c>
      <c r="H72" s="440">
        <v>0</v>
      </c>
      <c r="I72" s="440">
        <v>0</v>
      </c>
      <c r="J72" s="440">
        <v>0</v>
      </c>
      <c r="K72" s="440">
        <v>0</v>
      </c>
      <c r="L72" s="440">
        <v>0</v>
      </c>
      <c r="M72" s="440">
        <v>0</v>
      </c>
      <c r="N72" s="440">
        <v>0</v>
      </c>
      <c r="O72" s="440">
        <v>0</v>
      </c>
      <c r="P72" s="440">
        <v>0</v>
      </c>
    </row>
    <row r="73" spans="1:16" ht="15.75" thickBot="1" x14ac:dyDescent="0.3">
      <c r="A73" s="394" t="s">
        <v>1642</v>
      </c>
      <c r="B73" s="411" t="s">
        <v>1684</v>
      </c>
      <c r="C73" s="444">
        <f>+C66</f>
        <v>88441817310</v>
      </c>
      <c r="D73" s="444">
        <f t="shared" ref="D73:P73" si="15">+D66</f>
        <v>101048751831.52</v>
      </c>
      <c r="E73" s="444">
        <f t="shared" si="15"/>
        <v>110614295684.32001</v>
      </c>
      <c r="F73" s="444">
        <f t="shared" si="15"/>
        <v>123731644617.03647</v>
      </c>
      <c r="G73" s="444">
        <f t="shared" si="15"/>
        <v>133242249044.48413</v>
      </c>
      <c r="H73" s="444">
        <f t="shared" si="15"/>
        <v>143148053975.61298</v>
      </c>
      <c r="I73" s="444">
        <f t="shared" si="15"/>
        <v>148164391132.70105</v>
      </c>
      <c r="J73" s="444">
        <f t="shared" si="15"/>
        <v>153546830197.85541</v>
      </c>
      <c r="K73" s="444">
        <f t="shared" si="15"/>
        <v>158944001279.31</v>
      </c>
      <c r="L73" s="444">
        <f t="shared" si="15"/>
        <v>164530882924.27771</v>
      </c>
      <c r="M73" s="444">
        <f t="shared" si="15"/>
        <v>170314143459.06604</v>
      </c>
      <c r="N73" s="444">
        <f t="shared" si="15"/>
        <v>176300685601.65219</v>
      </c>
      <c r="O73" s="444">
        <f t="shared" si="15"/>
        <v>182497654700.55026</v>
      </c>
      <c r="P73" s="444">
        <f t="shared" si="15"/>
        <v>183410142974.05301</v>
      </c>
    </row>
    <row r="74" spans="1:16" ht="15.75" thickBot="1" x14ac:dyDescent="0.3">
      <c r="A74" s="426"/>
      <c r="B74" s="427"/>
    </row>
    <row r="75" spans="1:16" ht="15.75" thickBot="1" x14ac:dyDescent="0.3">
      <c r="A75" s="394" t="s">
        <v>1642</v>
      </c>
      <c r="B75" s="411" t="s">
        <v>1685</v>
      </c>
      <c r="C75" s="444">
        <f>+C46+C55</f>
        <v>-191942519788</v>
      </c>
      <c r="D75" s="444">
        <f t="shared" ref="D75:P75" si="16">+D46+D55</f>
        <v>-309975282767</v>
      </c>
      <c r="E75" s="444">
        <f t="shared" si="16"/>
        <v>-705723258680</v>
      </c>
      <c r="F75" s="444">
        <f t="shared" si="16"/>
        <v>-744246166893.94641</v>
      </c>
      <c r="G75" s="444">
        <f t="shared" si="16"/>
        <v>-620348229205.01331</v>
      </c>
      <c r="H75" s="444">
        <f t="shared" si="16"/>
        <v>-596426599266.06616</v>
      </c>
      <c r="I75" s="444">
        <f t="shared" si="16"/>
        <v>-603606321827.11304</v>
      </c>
      <c r="J75" s="444">
        <f t="shared" si="16"/>
        <v>-545137171273.05579</v>
      </c>
      <c r="K75" s="444">
        <f t="shared" si="16"/>
        <v>-355653363337.41144</v>
      </c>
      <c r="L75" s="444">
        <f t="shared" si="16"/>
        <v>-244364620525.91077</v>
      </c>
      <c r="M75" s="444">
        <f t="shared" si="16"/>
        <v>-143544486955.62018</v>
      </c>
      <c r="N75" s="444">
        <f t="shared" si="16"/>
        <v>-49266642468.842621</v>
      </c>
      <c r="O75" s="444">
        <f t="shared" si="16"/>
        <v>44144757888.403091</v>
      </c>
      <c r="P75" s="444">
        <f t="shared" si="16"/>
        <v>127490088021.44078</v>
      </c>
    </row>
    <row r="76" spans="1:16" ht="16.5" thickBot="1" x14ac:dyDescent="0.3">
      <c r="A76" s="394" t="s">
        <v>1642</v>
      </c>
      <c r="B76" s="428" t="s">
        <v>1686</v>
      </c>
      <c r="C76" s="447">
        <f>+C75</f>
        <v>-191942519788</v>
      </c>
      <c r="D76" s="447">
        <f t="shared" ref="D76:P76" si="17">+D75</f>
        <v>-309975282767</v>
      </c>
      <c r="E76" s="447">
        <f t="shared" si="17"/>
        <v>-705723258680</v>
      </c>
      <c r="F76" s="447">
        <f t="shared" si="17"/>
        <v>-744246166893.94641</v>
      </c>
      <c r="G76" s="447">
        <f t="shared" si="17"/>
        <v>-620348229205.01331</v>
      </c>
      <c r="H76" s="447">
        <f t="shared" si="17"/>
        <v>-596426599266.06616</v>
      </c>
      <c r="I76" s="447">
        <f t="shared" si="17"/>
        <v>-603606321827.11304</v>
      </c>
      <c r="J76" s="447">
        <f t="shared" si="17"/>
        <v>-545137171273.05579</v>
      </c>
      <c r="K76" s="447">
        <f t="shared" si="17"/>
        <v>-355653363337.41144</v>
      </c>
      <c r="L76" s="447">
        <f t="shared" si="17"/>
        <v>-244364620525.91077</v>
      </c>
      <c r="M76" s="447">
        <f t="shared" si="17"/>
        <v>-143544486955.62018</v>
      </c>
      <c r="N76" s="447">
        <f t="shared" si="17"/>
        <v>-49266642468.842621</v>
      </c>
      <c r="O76" s="447">
        <f t="shared" si="17"/>
        <v>44144757888.403091</v>
      </c>
      <c r="P76" s="447">
        <f t="shared" si="17"/>
        <v>127490088021.44078</v>
      </c>
    </row>
    <row r="77" spans="1:16" ht="15.75" thickBot="1" x14ac:dyDescent="0.3">
      <c r="A77" s="426"/>
      <c r="B77" s="402"/>
    </row>
    <row r="78" spans="1:16" ht="16.5" thickBot="1" x14ac:dyDescent="0.3">
      <c r="A78" s="394" t="s">
        <v>1630</v>
      </c>
      <c r="B78" s="393" t="s">
        <v>1646</v>
      </c>
      <c r="C78" s="446">
        <v>0</v>
      </c>
      <c r="D78" s="446">
        <v>0</v>
      </c>
      <c r="E78" s="446">
        <v>0</v>
      </c>
      <c r="F78" s="446">
        <v>0</v>
      </c>
      <c r="G78" s="446">
        <v>0</v>
      </c>
      <c r="H78" s="446">
        <v>0</v>
      </c>
      <c r="I78" s="446">
        <v>0</v>
      </c>
      <c r="J78" s="446">
        <v>0</v>
      </c>
      <c r="K78" s="446">
        <v>0</v>
      </c>
      <c r="L78" s="446">
        <v>0</v>
      </c>
      <c r="M78" s="446">
        <v>0</v>
      </c>
      <c r="N78" s="446">
        <v>0</v>
      </c>
      <c r="O78" s="446">
        <v>0</v>
      </c>
      <c r="P78" s="446">
        <v>0</v>
      </c>
    </row>
    <row r="79" spans="1:16" ht="15.75" thickBot="1" x14ac:dyDescent="0.3">
      <c r="A79" s="394"/>
      <c r="B79" s="239"/>
    </row>
    <row r="80" spans="1:16" ht="32.25" thickBot="1" x14ac:dyDescent="0.3">
      <c r="A80" s="394" t="s">
        <v>1642</v>
      </c>
      <c r="B80" s="403" t="s">
        <v>1687</v>
      </c>
      <c r="C80" s="448">
        <f>+C76-C73</f>
        <v>-280384337098</v>
      </c>
      <c r="D80" s="448">
        <f t="shared" ref="D80:P80" si="18">+D76-D73</f>
        <v>-411024034598.52002</v>
      </c>
      <c r="E80" s="448">
        <f t="shared" si="18"/>
        <v>-816337554364.32007</v>
      </c>
      <c r="F80" s="448">
        <f t="shared" si="18"/>
        <v>-867977811510.98291</v>
      </c>
      <c r="G80" s="448">
        <f t="shared" si="18"/>
        <v>-753590478249.49744</v>
      </c>
      <c r="H80" s="448">
        <f t="shared" si="18"/>
        <v>-739574653241.6792</v>
      </c>
      <c r="I80" s="448">
        <f t="shared" si="18"/>
        <v>-751770712959.81409</v>
      </c>
      <c r="J80" s="448">
        <f t="shared" si="18"/>
        <v>-698684001470.91113</v>
      </c>
      <c r="K80" s="448">
        <f t="shared" si="18"/>
        <v>-514597364616.72144</v>
      </c>
      <c r="L80" s="448">
        <f t="shared" si="18"/>
        <v>-408895503450.18848</v>
      </c>
      <c r="M80" s="448">
        <f t="shared" si="18"/>
        <v>-313858630414.68622</v>
      </c>
      <c r="N80" s="448">
        <f t="shared" si="18"/>
        <v>-225567328070.49481</v>
      </c>
      <c r="O80" s="448">
        <f t="shared" si="18"/>
        <v>-138352896812.14716</v>
      </c>
      <c r="P80" s="448">
        <f t="shared" si="18"/>
        <v>-55920054952.612228</v>
      </c>
    </row>
  </sheetData>
  <mergeCells count="1">
    <mergeCell ref="A5:B5"/>
  </mergeCells>
  <conditionalFormatting sqref="B46">
    <cfRule type="cellIs" dxfId="25" priority="29" operator="lessThan">
      <formula>0</formula>
    </cfRule>
  </conditionalFormatting>
  <conditionalFormatting sqref="B55">
    <cfRule type="cellIs" dxfId="24" priority="28" operator="lessThan">
      <formula>0</formula>
    </cfRule>
  </conditionalFormatting>
  <conditionalFormatting sqref="B73">
    <cfRule type="cellIs" dxfId="23" priority="27" operator="lessThan">
      <formula>0</formula>
    </cfRule>
  </conditionalFormatting>
  <conditionalFormatting sqref="B75">
    <cfRule type="cellIs" dxfId="22" priority="26" operator="lessThan">
      <formula>0</formula>
    </cfRule>
  </conditionalFormatting>
  <conditionalFormatting sqref="A50">
    <cfRule type="cellIs" dxfId="21" priority="17" operator="equal">
      <formula>"(=)"</formula>
    </cfRule>
  </conditionalFormatting>
  <conditionalFormatting sqref="C24:P24">
    <cfRule type="cellIs" dxfId="20" priority="6" operator="greaterThan">
      <formula>0</formula>
    </cfRule>
    <cfRule type="cellIs" dxfId="19" priority="7" operator="lessThan">
      <formula>0</formula>
    </cfRule>
    <cfRule type="cellIs" dxfId="18" priority="8" operator="lessThan">
      <formula>0</formula>
    </cfRule>
  </conditionalFormatting>
  <conditionalFormatting sqref="C80:P80">
    <cfRule type="cellIs" dxfId="17" priority="3" operator="greaterThan">
      <formula>0</formula>
    </cfRule>
    <cfRule type="cellIs" dxfId="16" priority="4" operator="lessThan">
      <formula>0</formula>
    </cfRule>
  </conditionalFormatting>
  <conditionalFormatting sqref="C76:P76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" operator="containsText" id="{9A7D9163-85E7-4A83-B4A6-B65666F04D57}">
            <xm:f>NOT(ISERROR(SEARCH("=",A8)))</xm:f>
            <xm:f>"="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2" operator="containsText" id="{0D7541FA-F9C6-4769-97E3-BBE50A6E1DA3}">
            <xm:f>NOT(ISERROR(SEARCH("+",A8)))</xm:f>
            <xm:f>"+"</xm:f>
            <x14:dxf>
              <font>
                <color rgb="FF0070C0"/>
              </font>
              <fill>
                <patternFill>
                  <bgColor theme="0"/>
                </patternFill>
              </fill>
            </x14:dxf>
          </x14:cfRule>
          <xm:sqref>A36:A46 A73:A80 A27:A34 A8:A18</xm:sqref>
        </x14:conditionalFormatting>
        <x14:conditionalFormatting xmlns:xm="http://schemas.microsoft.com/office/excel/2006/main">
          <x14:cfRule type="containsText" priority="22" operator="containsText" id="{F9AF5DC3-B511-4D44-9BF1-10ECBD9C146E}">
            <xm:f>NOT(ISERROR(SEARCH("=",A20)))</xm:f>
            <xm:f>"="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23" operator="containsText" id="{C873AC14-6722-459F-B8DB-D54DC9183343}">
            <xm:f>NOT(ISERROR(SEARCH("+",A20)))</xm:f>
            <xm:f>"+"</xm:f>
            <x14:dxf>
              <font>
                <color rgb="FF0070C0"/>
              </font>
              <fill>
                <patternFill>
                  <bgColor theme="0"/>
                </patternFill>
              </fill>
            </x14:dxf>
          </x14:cfRule>
          <xm:sqref>A20</xm:sqref>
        </x14:conditionalFormatting>
        <x14:conditionalFormatting xmlns:xm="http://schemas.microsoft.com/office/excel/2006/main">
          <x14:cfRule type="containsText" priority="20" operator="containsText" id="{A6C9913C-7FA2-40B9-AD88-661653CC38A3}">
            <xm:f>NOT(ISERROR(SEARCH("=",A24)))</xm:f>
            <xm:f>"="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21" operator="containsText" id="{0A7E4DF8-53F7-45BC-903B-05D50492B00F}">
            <xm:f>NOT(ISERROR(SEARCH("+",A24)))</xm:f>
            <xm:f>"+"</xm:f>
            <x14:dxf>
              <font>
                <color rgb="FF0070C0"/>
              </font>
              <fill>
                <patternFill>
                  <bgColor theme="0"/>
                </patternFill>
              </fill>
            </x14:dxf>
          </x14:cfRule>
          <xm:sqref>A24</xm:sqref>
        </x14:conditionalFormatting>
        <x14:conditionalFormatting xmlns:xm="http://schemas.microsoft.com/office/excel/2006/main">
          <x14:cfRule type="containsText" priority="18" operator="containsText" id="{75A6CD01-A28F-41C3-8666-DC9DF20D5374}">
            <xm:f>NOT(ISERROR(SEARCH("=",A22)))</xm:f>
            <xm:f>"="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9" operator="containsText" id="{1FAA4E62-2B9A-4009-890E-ECB17D84B7CF}">
            <xm:f>NOT(ISERROR(SEARCH("+",A22)))</xm:f>
            <xm:f>"+"</xm:f>
            <x14:dxf>
              <font>
                <color rgb="FF0070C0"/>
              </font>
              <fill>
                <patternFill>
                  <bgColor theme="0"/>
                </patternFill>
              </fill>
            </x14:dxf>
          </x14:cfRule>
          <xm:sqref>A22</xm:sqref>
        </x14:conditionalFormatting>
        <x14:conditionalFormatting xmlns:xm="http://schemas.microsoft.com/office/excel/2006/main">
          <x14:cfRule type="containsText" priority="15" operator="containsText" id="{E99F25D4-FE8F-474D-835F-63343EB09AAF}">
            <xm:f>NOT(ISERROR(SEARCH("=",A49)))</xm:f>
            <xm:f>"="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6" operator="containsText" id="{E1EFD917-AE01-4603-8996-F8C796159B30}">
            <xm:f>NOT(ISERROR(SEARCH("+",A49)))</xm:f>
            <xm:f>"+"</xm:f>
            <x14:dxf>
              <font>
                <color rgb="FF0070C0"/>
              </font>
              <fill>
                <patternFill>
                  <bgColor theme="0"/>
                </patternFill>
              </fill>
            </x14:dxf>
          </x14:cfRule>
          <xm:sqref>A49:A55</xm:sqref>
        </x14:conditionalFormatting>
        <x14:conditionalFormatting xmlns:xm="http://schemas.microsoft.com/office/excel/2006/main">
          <x14:cfRule type="containsText" priority="13" operator="containsText" id="{BE189BC8-0203-4358-B2B5-7B7FC821B9E5}">
            <xm:f>NOT(ISERROR(SEARCH("=",A59)))</xm:f>
            <xm:f>"="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4" operator="containsText" id="{AB380128-257B-4FF6-9825-3151AFD77798}">
            <xm:f>NOT(ISERROR(SEARCH("+",A59)))</xm:f>
            <xm:f>"+"</xm:f>
            <x14:dxf>
              <font>
                <color rgb="FF0070C0"/>
              </font>
              <fill>
                <patternFill>
                  <bgColor theme="0"/>
                </patternFill>
              </fill>
            </x14:dxf>
          </x14:cfRule>
          <xm:sqref>A59:A65</xm:sqref>
        </x14:conditionalFormatting>
        <x14:conditionalFormatting xmlns:xm="http://schemas.microsoft.com/office/excel/2006/main">
          <x14:cfRule type="containsText" priority="9" operator="containsText" id="{FD67E0B1-6204-45AB-B62E-24F0B3878004}">
            <xm:f>NOT(ISERROR(SEARCH("=",A35)))</xm:f>
            <xm:f>"="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0" operator="containsText" id="{F3B6309B-E5B6-4817-B7E9-B787C89150DF}">
            <xm:f>NOT(ISERROR(SEARCH("+",A35)))</xm:f>
            <xm:f>"+"</xm:f>
            <x14:dxf>
              <font>
                <color rgb="FF0070C0"/>
              </font>
              <fill>
                <patternFill>
                  <bgColor theme="0"/>
                </patternFill>
              </fill>
            </x14:dxf>
          </x14:cfRule>
          <xm:sqref>A35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249977111117893"/>
  </sheetPr>
  <dimension ref="A1:Q189"/>
  <sheetViews>
    <sheetView workbookViewId="0">
      <pane xSplit="1" ySplit="1" topLeftCell="B175" activePane="bottomRight" state="frozen"/>
      <selection activeCell="O186" sqref="O186:Q189"/>
      <selection pane="topRight" activeCell="O186" sqref="O186:Q189"/>
      <selection pane="bottomLeft" activeCell="O186" sqref="O186:Q189"/>
      <selection pane="bottomRight" activeCell="O186" sqref="O186:Q189"/>
    </sheetView>
  </sheetViews>
  <sheetFormatPr baseColWidth="10" defaultColWidth="9.140625" defaultRowHeight="15" x14ac:dyDescent="0.25"/>
  <cols>
    <col min="1" max="1" width="9.140625" style="1"/>
    <col min="2" max="5" width="16.7109375" style="1" customWidth="1"/>
    <col min="6" max="16" width="9.140625" style="1"/>
    <col min="17" max="17" width="14.85546875" style="1" bestFit="1" customWidth="1"/>
    <col min="18" max="16384" width="9.140625" style="1"/>
  </cols>
  <sheetData>
    <row r="1" spans="1:17" x14ac:dyDescent="0.25">
      <c r="B1" s="1" t="s">
        <v>1586</v>
      </c>
      <c r="C1" s="1" t="s">
        <v>1587</v>
      </c>
      <c r="D1" s="1" t="s">
        <v>1588</v>
      </c>
      <c r="E1" s="1" t="s">
        <v>1589</v>
      </c>
      <c r="F1" s="1" t="s">
        <v>19</v>
      </c>
    </row>
    <row r="2" spans="1:17" x14ac:dyDescent="0.25">
      <c r="A2" s="1">
        <v>1</v>
      </c>
      <c r="B2" s="1">
        <v>70000</v>
      </c>
      <c r="C2" s="1">
        <v>233000</v>
      </c>
      <c r="D2" s="1">
        <v>70000</v>
      </c>
      <c r="F2" s="1">
        <v>2022</v>
      </c>
    </row>
    <row r="3" spans="1:17" x14ac:dyDescent="0.25">
      <c r="A3" s="1">
        <v>2</v>
      </c>
      <c r="B3" s="1">
        <v>70000</v>
      </c>
      <c r="C3" s="1">
        <v>233000</v>
      </c>
      <c r="D3" s="1">
        <v>70000</v>
      </c>
      <c r="F3" s="1">
        <v>2024</v>
      </c>
    </row>
    <row r="4" spans="1:17" x14ac:dyDescent="0.25">
      <c r="A4" s="1">
        <v>3</v>
      </c>
      <c r="B4" s="1">
        <v>120000</v>
      </c>
      <c r="C4" s="1">
        <v>370000</v>
      </c>
      <c r="D4" s="1">
        <v>95000</v>
      </c>
      <c r="F4" s="1">
        <v>2022</v>
      </c>
    </row>
    <row r="5" spans="1:17" x14ac:dyDescent="0.25">
      <c r="A5" s="1">
        <v>4</v>
      </c>
      <c r="B5" s="1">
        <v>120000</v>
      </c>
      <c r="C5" s="1">
        <v>370000</v>
      </c>
      <c r="D5" s="1">
        <v>95000</v>
      </c>
      <c r="F5" s="1">
        <v>2024</v>
      </c>
    </row>
    <row r="6" spans="1:17" x14ac:dyDescent="0.25">
      <c r="A6" s="1">
        <v>5</v>
      </c>
      <c r="B6" s="1">
        <v>195000</v>
      </c>
      <c r="C6" s="1">
        <v>370000</v>
      </c>
      <c r="D6" s="1">
        <v>95000</v>
      </c>
      <c r="F6" s="1">
        <v>2022</v>
      </c>
    </row>
    <row r="7" spans="1:17" x14ac:dyDescent="0.25">
      <c r="A7" s="1">
        <v>6</v>
      </c>
      <c r="B7" s="1">
        <v>195000</v>
      </c>
      <c r="C7" s="1">
        <v>370000</v>
      </c>
      <c r="D7" s="1">
        <v>95000</v>
      </c>
      <c r="F7" s="1">
        <v>2024</v>
      </c>
    </row>
    <row r="14" spans="1:17" x14ac:dyDescent="0.25">
      <c r="A14" s="1">
        <f>+A13+1</f>
        <v>1</v>
      </c>
      <c r="B14" s="1">
        <v>70000</v>
      </c>
      <c r="C14" s="1">
        <v>233000</v>
      </c>
      <c r="D14" s="1">
        <v>70000</v>
      </c>
      <c r="F14" s="1">
        <v>2022</v>
      </c>
    </row>
    <row r="16" spans="1:17" x14ac:dyDescent="0.25">
      <c r="O16" s="1" t="s">
        <v>1581</v>
      </c>
      <c r="Q16" s="1">
        <v>233875787588</v>
      </c>
    </row>
    <row r="17" spans="15:17" x14ac:dyDescent="0.25">
      <c r="O17" s="1" t="s">
        <v>1585</v>
      </c>
      <c r="Q17" s="1">
        <v>69984178141.257782</v>
      </c>
    </row>
    <row r="18" spans="15:17" x14ac:dyDescent="0.25">
      <c r="O18" s="1" t="s">
        <v>1581</v>
      </c>
      <c r="Q18" s="1">
        <v>449629224913.21692</v>
      </c>
    </row>
    <row r="19" spans="15:17" x14ac:dyDescent="0.25">
      <c r="O19" s="1" t="s">
        <v>1582</v>
      </c>
      <c r="Q19" s="1">
        <v>1705703.9815114094</v>
      </c>
    </row>
    <row r="56" spans="1:17" x14ac:dyDescent="0.25">
      <c r="A56" s="1">
        <v>2</v>
      </c>
      <c r="B56" s="1">
        <v>70000</v>
      </c>
      <c r="C56" s="1">
        <v>233000</v>
      </c>
      <c r="D56" s="1">
        <v>70000</v>
      </c>
      <c r="F56" s="1">
        <v>2024</v>
      </c>
    </row>
    <row r="59" spans="1:17" x14ac:dyDescent="0.25">
      <c r="O59" s="1" t="s">
        <v>1581</v>
      </c>
      <c r="Q59" s="1">
        <v>233875787588</v>
      </c>
    </row>
    <row r="60" spans="1:17" x14ac:dyDescent="0.25">
      <c r="O60" s="1" t="s">
        <v>1585</v>
      </c>
      <c r="Q60" s="1">
        <v>69984178141.257782</v>
      </c>
    </row>
    <row r="61" spans="1:17" x14ac:dyDescent="0.25">
      <c r="O61" s="1" t="s">
        <v>1581</v>
      </c>
      <c r="Q61" s="1">
        <v>299629224913.21692</v>
      </c>
    </row>
    <row r="62" spans="1:17" x14ac:dyDescent="0.25">
      <c r="O62" s="1" t="s">
        <v>1582</v>
      </c>
      <c r="Q62" s="1">
        <v>1703170.7817660919</v>
      </c>
    </row>
    <row r="99" spans="1:17" x14ac:dyDescent="0.25">
      <c r="A99" s="1">
        <v>3</v>
      </c>
      <c r="B99" s="1">
        <v>120000</v>
      </c>
      <c r="C99" s="1">
        <v>370000</v>
      </c>
      <c r="D99" s="1">
        <v>95000</v>
      </c>
      <c r="F99" s="1">
        <v>2022</v>
      </c>
    </row>
    <row r="101" spans="1:17" x14ac:dyDescent="0.25">
      <c r="O101" s="1" t="s">
        <v>1581</v>
      </c>
      <c r="Q101" s="1">
        <v>369523744389.04004</v>
      </c>
    </row>
    <row r="102" spans="1:17" x14ac:dyDescent="0.25">
      <c r="O102" s="1" t="s">
        <v>1585</v>
      </c>
      <c r="Q102" s="1">
        <v>119082206466.16684</v>
      </c>
    </row>
    <row r="103" spans="1:17" x14ac:dyDescent="0.25">
      <c r="O103" s="1" t="s">
        <v>1581</v>
      </c>
      <c r="Q103" s="1">
        <v>323727253238.12598</v>
      </c>
    </row>
    <row r="104" spans="1:17" x14ac:dyDescent="0.25">
      <c r="O104" s="1" t="s">
        <v>1582</v>
      </c>
      <c r="Q104" s="1">
        <v>2042543.7319338666</v>
      </c>
    </row>
    <row r="142" spans="1:17" x14ac:dyDescent="0.25">
      <c r="A142" s="1">
        <v>5</v>
      </c>
      <c r="B142" s="1">
        <v>195000</v>
      </c>
      <c r="C142" s="1">
        <v>370000</v>
      </c>
      <c r="D142" s="1">
        <v>95000</v>
      </c>
      <c r="F142" s="1">
        <v>2022</v>
      </c>
      <c r="O142" s="1" t="s">
        <v>1581</v>
      </c>
      <c r="Q142" s="1">
        <v>369523744389.04004</v>
      </c>
    </row>
    <row r="143" spans="1:17" x14ac:dyDescent="0.25">
      <c r="O143" s="1" t="s">
        <v>1585</v>
      </c>
      <c r="Q143" s="1">
        <v>194775000133.73499</v>
      </c>
    </row>
    <row r="144" spans="1:17" x14ac:dyDescent="0.25">
      <c r="O144" s="1" t="s">
        <v>1581</v>
      </c>
      <c r="Q144" s="1">
        <v>399420046905.69415</v>
      </c>
    </row>
    <row r="145" spans="15:17" x14ac:dyDescent="0.25">
      <c r="O145" s="1" t="s">
        <v>1582</v>
      </c>
      <c r="Q145" s="1">
        <v>2658861.2681315797</v>
      </c>
    </row>
    <row r="185" spans="1:17" x14ac:dyDescent="0.25">
      <c r="A185" s="1">
        <v>6</v>
      </c>
      <c r="B185" s="1">
        <v>195000</v>
      </c>
      <c r="C185" s="1">
        <v>370000</v>
      </c>
      <c r="D185" s="1">
        <v>95000</v>
      </c>
      <c r="F185" s="1">
        <v>2024</v>
      </c>
    </row>
    <row r="186" spans="1:17" x14ac:dyDescent="0.25">
      <c r="O186" s="1" t="s">
        <v>1581</v>
      </c>
      <c r="Q186" s="1">
        <v>369523744389.04004</v>
      </c>
    </row>
    <row r="187" spans="1:17" x14ac:dyDescent="0.25">
      <c r="O187" s="1" t="s">
        <v>1585</v>
      </c>
      <c r="Q187" s="1">
        <v>194775000133.73499</v>
      </c>
    </row>
    <row r="188" spans="1:17" x14ac:dyDescent="0.25">
      <c r="O188" s="1" t="s">
        <v>1581</v>
      </c>
      <c r="Q188" s="1">
        <v>299420046905.69415</v>
      </c>
    </row>
    <row r="189" spans="1:17" x14ac:dyDescent="0.25">
      <c r="O189" s="1" t="s">
        <v>1582</v>
      </c>
      <c r="Q189" s="1">
        <v>2656288.823560399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799"/>
  <sheetViews>
    <sheetView showGridLines="0" topLeftCell="A5" zoomScale="90" zoomScaleNormal="90" workbookViewId="0">
      <pane xSplit="3" ySplit="2" topLeftCell="F145" activePane="bottomRight" state="frozen"/>
      <selection activeCell="A5" sqref="A5"/>
      <selection pane="topRight" activeCell="D5" sqref="D5"/>
      <selection pane="bottomLeft" activeCell="A7" sqref="A7"/>
      <selection pane="bottomRight" activeCell="L64" sqref="L64"/>
    </sheetView>
  </sheetViews>
  <sheetFormatPr baseColWidth="10" defaultColWidth="11.42578125" defaultRowHeight="15" outlineLevelRow="1" outlineLevelCol="1" x14ac:dyDescent="0.25"/>
  <cols>
    <col min="1" max="1" width="17.5703125" hidden="1" customWidth="1" outlineLevel="1"/>
    <col min="2" max="2" width="39.140625" bestFit="1" customWidth="1" collapsed="1"/>
    <col min="3" max="3" width="13.140625" customWidth="1"/>
    <col min="4" max="17" width="13.7109375" style="1" customWidth="1"/>
    <col min="18" max="21" width="11.42578125" customWidth="1"/>
  </cols>
  <sheetData>
    <row r="1" spans="1:19" outlineLevel="1" x14ac:dyDescent="0.25">
      <c r="B1" t="s">
        <v>1119</v>
      </c>
      <c r="D1" s="115">
        <v>0</v>
      </c>
      <c r="E1" s="115">
        <v>0</v>
      </c>
      <c r="F1" s="115">
        <v>-0.19677734375</v>
      </c>
      <c r="G1" s="115">
        <v>-0.1967926025390625</v>
      </c>
      <c r="H1" s="115">
        <v>-0.19683837890625</v>
      </c>
      <c r="I1" s="115">
        <v>-0.196929931640625</v>
      </c>
      <c r="J1" s="115">
        <v>-0.19698333740234375</v>
      </c>
      <c r="K1" s="115">
        <v>-0.1968841552734375</v>
      </c>
      <c r="L1" s="115">
        <v>-0.196807861328125</v>
      </c>
      <c r="M1" s="115">
        <v>-0.19683837890625</v>
      </c>
      <c r="N1" s="115">
        <v>-0.19683837890625</v>
      </c>
      <c r="O1" s="115">
        <v>-0.19696044921875</v>
      </c>
      <c r="P1" s="115">
        <v>-0.19677734375</v>
      </c>
      <c r="Q1" s="115">
        <v>-0.1968994140625</v>
      </c>
    </row>
    <row r="2" spans="1:19" outlineLevel="1" x14ac:dyDescent="0.25"/>
    <row r="3" spans="1:19" outlineLevel="1" x14ac:dyDescent="0.25">
      <c r="B3" s="2" t="s">
        <v>0</v>
      </c>
    </row>
    <row r="4" spans="1:19" outlineLevel="1" x14ac:dyDescent="0.25">
      <c r="B4" s="2" t="s">
        <v>1180</v>
      </c>
    </row>
    <row r="6" spans="1:19" s="16" customFormat="1" x14ac:dyDescent="0.25">
      <c r="A6" s="16" t="s">
        <v>990</v>
      </c>
      <c r="B6" s="132" t="s">
        <v>1179</v>
      </c>
      <c r="C6" s="132" t="s">
        <v>1321</v>
      </c>
      <c r="D6" s="133" t="s">
        <v>1099</v>
      </c>
      <c r="E6" s="133" t="s">
        <v>1100</v>
      </c>
      <c r="F6" s="133" t="s">
        <v>1101</v>
      </c>
      <c r="G6" s="133" t="s">
        <v>1102</v>
      </c>
      <c r="H6" s="133" t="s">
        <v>1103</v>
      </c>
      <c r="I6" s="133" t="s">
        <v>1104</v>
      </c>
      <c r="J6" s="133" t="s">
        <v>1105</v>
      </c>
      <c r="K6" s="133" t="s">
        <v>1106</v>
      </c>
      <c r="L6" s="133" t="s">
        <v>1107</v>
      </c>
      <c r="M6" s="133" t="s">
        <v>1108</v>
      </c>
      <c r="N6" s="133" t="s">
        <v>1346</v>
      </c>
      <c r="O6" s="133" t="s">
        <v>1347</v>
      </c>
      <c r="P6" s="133" t="s">
        <v>1348</v>
      </c>
      <c r="Q6" s="133" t="s">
        <v>1349</v>
      </c>
      <c r="S6" s="133" t="s">
        <v>31</v>
      </c>
    </row>
    <row r="7" spans="1:19" x14ac:dyDescent="0.25"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1:19" s="260" customFormat="1" x14ac:dyDescent="0.25">
      <c r="B8" s="168" t="s">
        <v>1097</v>
      </c>
      <c r="C8" s="169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1"/>
    </row>
    <row r="9" spans="1:19" outlineLevel="1" x14ac:dyDescent="0.25">
      <c r="B9" s="107"/>
      <c r="C9" s="107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1:19" s="16" customFormat="1" outlineLevel="1" x14ac:dyDescent="0.25">
      <c r="B10" s="136" t="s">
        <v>1095</v>
      </c>
      <c r="C10" s="138" t="s">
        <v>11</v>
      </c>
      <c r="D10" s="137">
        <v>190047779441</v>
      </c>
      <c r="E10" s="134">
        <v>233318009664</v>
      </c>
      <c r="F10" s="134">
        <v>311670526572</v>
      </c>
      <c r="G10" s="134">
        <v>724534713863.68823</v>
      </c>
      <c r="H10" s="134">
        <v>712170670034.59863</v>
      </c>
      <c r="I10" s="134">
        <v>738359724042.19739</v>
      </c>
      <c r="J10" s="134">
        <v>789821233817.25769</v>
      </c>
      <c r="K10" s="134">
        <v>864832920520.57385</v>
      </c>
      <c r="L10" s="134">
        <v>961467979679.99658</v>
      </c>
      <c r="M10" s="134">
        <v>1062165277671.6896</v>
      </c>
      <c r="N10" s="134">
        <v>1167028011853.0618</v>
      </c>
      <c r="O10" s="134">
        <v>1276138270592.5132</v>
      </c>
      <c r="P10" s="134">
        <v>1389581071504.0413</v>
      </c>
      <c r="Q10" s="135">
        <v>1507525730381.6074</v>
      </c>
    </row>
    <row r="11" spans="1:19" outlineLevel="1" x14ac:dyDescent="0.25">
      <c r="B11" s="108"/>
      <c r="C11" s="10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1:19" s="16" customFormat="1" outlineLevel="1" x14ac:dyDescent="0.25">
      <c r="B12" s="172" t="s">
        <v>1073</v>
      </c>
      <c r="C12" s="173" t="s">
        <v>11</v>
      </c>
      <c r="D12" s="174">
        <v>10829724787</v>
      </c>
      <c r="E12" s="175">
        <v>20611607335</v>
      </c>
      <c r="F12" s="175">
        <v>39587220947</v>
      </c>
      <c r="G12" s="175">
        <v>452119435966.46698</v>
      </c>
      <c r="H12" s="175">
        <v>429366269457.69336</v>
      </c>
      <c r="I12" s="175">
        <v>471421856576.85999</v>
      </c>
      <c r="J12" s="175">
        <v>535961488867.81799</v>
      </c>
      <c r="K12" s="175">
        <v>625613481991.77197</v>
      </c>
      <c r="L12" s="175">
        <v>738344437803.82458</v>
      </c>
      <c r="M12" s="175">
        <v>830809824364.48706</v>
      </c>
      <c r="N12" s="175">
        <v>927110004340.43213</v>
      </c>
      <c r="O12" s="175">
        <v>1027313686136.866</v>
      </c>
      <c r="P12" s="175">
        <v>1131492094140.1023</v>
      </c>
      <c r="Q12" s="176">
        <v>1239800199879.7925</v>
      </c>
    </row>
    <row r="13" spans="1:19" outlineLevel="1" x14ac:dyDescent="0.25">
      <c r="A13" t="s">
        <v>991</v>
      </c>
      <c r="B13" s="139" t="s">
        <v>37</v>
      </c>
      <c r="C13" s="139" t="s">
        <v>11</v>
      </c>
      <c r="D13" s="148">
        <v>6762481831</v>
      </c>
      <c r="E13" s="143">
        <v>15189324061</v>
      </c>
      <c r="F13" s="143">
        <v>15776347830</v>
      </c>
      <c r="G13" s="143">
        <v>452119435966.46698</v>
      </c>
      <c r="H13" s="143">
        <v>429366269457.69336</v>
      </c>
      <c r="I13" s="143">
        <v>471421856576.85999</v>
      </c>
      <c r="J13" s="143">
        <v>535961488867.81799</v>
      </c>
      <c r="K13" s="143">
        <v>625613481991.77197</v>
      </c>
      <c r="L13" s="143">
        <v>738344437803.82458</v>
      </c>
      <c r="M13" s="143">
        <v>830809824364.48706</v>
      </c>
      <c r="N13" s="143">
        <v>927110004340.43213</v>
      </c>
      <c r="O13" s="143">
        <v>1027313686136.866</v>
      </c>
      <c r="P13" s="143">
        <v>1131492094140.1023</v>
      </c>
      <c r="Q13" s="144">
        <v>1239800199879.7925</v>
      </c>
      <c r="S13" s="291">
        <v>25124482766</v>
      </c>
    </row>
    <row r="14" spans="1:19" outlineLevel="1" x14ac:dyDescent="0.25">
      <c r="A14" s="107" t="s">
        <v>992</v>
      </c>
      <c r="B14" s="140" t="s">
        <v>1057</v>
      </c>
      <c r="C14" s="140" t="s">
        <v>11</v>
      </c>
      <c r="D14" s="149">
        <v>4067242956</v>
      </c>
      <c r="E14" s="146">
        <v>5422283274</v>
      </c>
      <c r="F14" s="146">
        <v>23810873117</v>
      </c>
      <c r="G14" s="146">
        <v>0</v>
      </c>
      <c r="H14" s="146">
        <v>0</v>
      </c>
      <c r="I14" s="146">
        <v>0</v>
      </c>
      <c r="J14" s="146">
        <v>0</v>
      </c>
      <c r="K14" s="146">
        <v>0</v>
      </c>
      <c r="L14" s="146">
        <v>0</v>
      </c>
      <c r="M14" s="146">
        <v>0</v>
      </c>
      <c r="N14" s="146">
        <v>0</v>
      </c>
      <c r="O14" s="146">
        <v>0</v>
      </c>
      <c r="P14" s="146">
        <v>0</v>
      </c>
      <c r="Q14" s="147">
        <v>0</v>
      </c>
      <c r="S14" s="291">
        <v>21203284184</v>
      </c>
    </row>
    <row r="15" spans="1:19" outlineLevel="1" x14ac:dyDescent="0.25">
      <c r="A15" s="107"/>
      <c r="B15" s="108"/>
      <c r="C15" s="10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1:19" s="16" customFormat="1" outlineLevel="1" x14ac:dyDescent="0.25">
      <c r="A16" s="261"/>
      <c r="B16" s="172" t="s">
        <v>1120</v>
      </c>
      <c r="C16" s="173" t="s">
        <v>11</v>
      </c>
      <c r="D16" s="177">
        <v>112804280817</v>
      </c>
      <c r="E16" s="175">
        <v>156232780967</v>
      </c>
      <c r="F16" s="175">
        <v>226327325388</v>
      </c>
      <c r="G16" s="175">
        <v>225495354240.90894</v>
      </c>
      <c r="H16" s="175">
        <v>234700432979.32507</v>
      </c>
      <c r="I16" s="175">
        <v>217714104036.40482</v>
      </c>
      <c r="J16" s="175">
        <v>203583003094.28387</v>
      </c>
      <c r="K16" s="175">
        <v>187959223212.52502</v>
      </c>
      <c r="L16" s="175">
        <v>170745612527.41373</v>
      </c>
      <c r="M16" s="175">
        <v>177751138846.69208</v>
      </c>
      <c r="N16" s="175">
        <v>185038048622.53192</v>
      </c>
      <c r="O16" s="175">
        <v>192617728957.75702</v>
      </c>
      <c r="P16" s="175">
        <v>200501918031.60907</v>
      </c>
      <c r="Q16" s="176">
        <v>208702823026.60068</v>
      </c>
      <c r="S16" s="336">
        <f>SUM(S17:S24)</f>
        <v>248831647149</v>
      </c>
    </row>
    <row r="17" spans="1:20" outlineLevel="1" x14ac:dyDescent="0.25">
      <c r="A17" s="107" t="s">
        <v>993</v>
      </c>
      <c r="B17" s="139" t="s">
        <v>1045</v>
      </c>
      <c r="C17" s="139" t="s">
        <v>11</v>
      </c>
      <c r="D17" s="150">
        <v>16218891608</v>
      </c>
      <c r="E17" s="143">
        <v>31258196065</v>
      </c>
      <c r="F17" s="143">
        <v>25926371412</v>
      </c>
      <c r="G17" s="143">
        <v>26438383471.732136</v>
      </c>
      <c r="H17" s="143">
        <v>27500547457.930908</v>
      </c>
      <c r="I17" s="143">
        <v>28605375126.305973</v>
      </c>
      <c r="J17" s="143">
        <v>29754593487.377815</v>
      </c>
      <c r="K17" s="143">
        <v>30949982408.170605</v>
      </c>
      <c r="L17" s="143">
        <v>32193392875.436634</v>
      </c>
      <c r="M17" s="143">
        <v>33486768929.618729</v>
      </c>
      <c r="N17" s="143">
        <v>34832094631.575073</v>
      </c>
      <c r="O17" s="143">
        <v>36231472293.88681</v>
      </c>
      <c r="P17" s="143">
        <v>37687069045.654457</v>
      </c>
      <c r="Q17" s="144">
        <v>39201138604.419212</v>
      </c>
      <c r="S17" s="339">
        <v>26866145248</v>
      </c>
      <c r="T17" s="344">
        <f>S17/$S$16</f>
        <v>0.10796916532048914</v>
      </c>
    </row>
    <row r="18" spans="1:20" outlineLevel="1" x14ac:dyDescent="0.25">
      <c r="A18" s="107" t="s">
        <v>994</v>
      </c>
      <c r="B18" s="139" t="s">
        <v>1046</v>
      </c>
      <c r="C18" s="139" t="s">
        <v>11</v>
      </c>
      <c r="D18" s="150">
        <v>62334734215</v>
      </c>
      <c r="E18" s="143">
        <v>90240603705</v>
      </c>
      <c r="F18" s="143">
        <v>146790210063</v>
      </c>
      <c r="G18" s="143">
        <v>144315820868.49216</v>
      </c>
      <c r="H18" s="143">
        <v>150113719508.13934</v>
      </c>
      <c r="I18" s="143">
        <v>129583355093.13678</v>
      </c>
      <c r="J18" s="143">
        <v>111765823449.2964</v>
      </c>
      <c r="K18" s="143">
        <v>92307508228.234619</v>
      </c>
      <c r="L18" s="143">
        <v>71105320022.404221</v>
      </c>
      <c r="M18" s="143">
        <v>73961990600.673828</v>
      </c>
      <c r="N18" s="143">
        <v>76933401999.966156</v>
      </c>
      <c r="O18" s="143">
        <v>80024197583.26738</v>
      </c>
      <c r="P18" s="143">
        <v>83239163873.353012</v>
      </c>
      <c r="Q18" s="144">
        <v>86583278640.27742</v>
      </c>
      <c r="S18" s="214">
        <v>173211212259</v>
      </c>
      <c r="T18" s="345">
        <f t="shared" ref="T18:T24" si="0">S18/$S$16</f>
        <v>0.69609800137392253</v>
      </c>
    </row>
    <row r="19" spans="1:20" outlineLevel="1" x14ac:dyDescent="0.25">
      <c r="A19" s="107" t="s">
        <v>995</v>
      </c>
      <c r="B19" s="139" t="s">
        <v>1047</v>
      </c>
      <c r="C19" s="139" t="s">
        <v>11</v>
      </c>
      <c r="D19" s="150">
        <v>469567433</v>
      </c>
      <c r="E19" s="143">
        <v>1452749789</v>
      </c>
      <c r="F19" s="143">
        <v>4537380446</v>
      </c>
      <c r="G19" s="143">
        <v>4626987798.7230844</v>
      </c>
      <c r="H19" s="143">
        <v>4812877371.3453856</v>
      </c>
      <c r="I19" s="143">
        <v>5006233525.1635218</v>
      </c>
      <c r="J19" s="143">
        <v>5207358504.7006912</v>
      </c>
      <c r="K19" s="143">
        <v>5416563804.9094114</v>
      </c>
      <c r="L19" s="143">
        <v>5634173367.4227867</v>
      </c>
      <c r="M19" s="143">
        <v>5860527419.2225008</v>
      </c>
      <c r="N19" s="143">
        <v>6095973191.2726765</v>
      </c>
      <c r="O19" s="143">
        <v>6340878609.7996826</v>
      </c>
      <c r="P19" s="143">
        <v>6595622944.5844078</v>
      </c>
      <c r="Q19" s="144">
        <v>6860600619.2713995</v>
      </c>
      <c r="S19" s="214">
        <v>3013837646</v>
      </c>
      <c r="T19" s="345">
        <f t="shared" si="0"/>
        <v>1.2111954731366299E-2</v>
      </c>
    </row>
    <row r="20" spans="1:20" outlineLevel="1" x14ac:dyDescent="0.25">
      <c r="A20" s="107" t="s">
        <v>996</v>
      </c>
      <c r="B20" s="139" t="s">
        <v>1048</v>
      </c>
      <c r="C20" s="139" t="s">
        <v>11</v>
      </c>
      <c r="D20" s="150">
        <v>3888556016</v>
      </c>
      <c r="E20" s="143">
        <v>859678176</v>
      </c>
      <c r="F20" s="143">
        <v>859678176</v>
      </c>
      <c r="G20" s="143">
        <v>876655700.02778566</v>
      </c>
      <c r="H20" s="143">
        <v>911875406.77956092</v>
      </c>
      <c r="I20" s="143">
        <v>948509774.91575897</v>
      </c>
      <c r="J20" s="143">
        <v>986616069.42076921</v>
      </c>
      <c r="K20" s="143">
        <v>1026253307.918483</v>
      </c>
      <c r="L20" s="143">
        <v>1067482866.2524276</v>
      </c>
      <c r="M20" s="143">
        <v>1110369205.7818654</v>
      </c>
      <c r="N20" s="143">
        <v>1154978114.8808241</v>
      </c>
      <c r="O20" s="143">
        <v>1201379302.9666541</v>
      </c>
      <c r="P20" s="143">
        <v>1249644628.6717372</v>
      </c>
      <c r="Q20" s="144">
        <v>1299848821.7665548</v>
      </c>
      <c r="S20" s="214">
        <v>859678176</v>
      </c>
      <c r="T20" s="345">
        <f t="shared" si="0"/>
        <v>3.4548586799541059E-3</v>
      </c>
    </row>
    <row r="21" spans="1:20" outlineLevel="1" x14ac:dyDescent="0.25">
      <c r="A21" s="107" t="s">
        <v>998</v>
      </c>
      <c r="B21" s="139" t="s">
        <v>1049</v>
      </c>
      <c r="C21" s="139" t="s">
        <v>11</v>
      </c>
      <c r="D21" s="150">
        <v>33640723251</v>
      </c>
      <c r="E21" s="143">
        <v>35161524597</v>
      </c>
      <c r="F21" s="143">
        <v>42966886995</v>
      </c>
      <c r="G21" s="143">
        <v>43815427037.915733</v>
      </c>
      <c r="H21" s="143">
        <v>45575715018.054672</v>
      </c>
      <c r="I21" s="143">
        <v>47406708056.827881</v>
      </c>
      <c r="J21" s="143">
        <v>49311268269.596344</v>
      </c>
      <c r="K21" s="143">
        <v>51292345368.993515</v>
      </c>
      <c r="L21" s="143">
        <v>53353006931.941414</v>
      </c>
      <c r="M21" s="143">
        <v>55496474750.054962</v>
      </c>
      <c r="N21" s="143">
        <v>57726036939.412193</v>
      </c>
      <c r="O21" s="143">
        <v>60045177590.619789</v>
      </c>
      <c r="P21" s="143">
        <v>62457488212.481125</v>
      </c>
      <c r="Q21" s="144">
        <v>64966703813.855415</v>
      </c>
      <c r="S21" s="214">
        <v>43371321915</v>
      </c>
      <c r="T21" s="345">
        <f t="shared" si="0"/>
        <v>0.17429986262571062</v>
      </c>
    </row>
    <row r="22" spans="1:20" outlineLevel="1" x14ac:dyDescent="0.25">
      <c r="A22" s="107" t="s">
        <v>997</v>
      </c>
      <c r="B22" s="139" t="s">
        <v>1050</v>
      </c>
      <c r="C22" s="139" t="s">
        <v>11</v>
      </c>
      <c r="D22" s="150">
        <v>6537408745</v>
      </c>
      <c r="E22" s="143">
        <v>8006883218</v>
      </c>
      <c r="F22" s="143">
        <v>7921629663</v>
      </c>
      <c r="G22" s="143">
        <v>8078071528.9184408</v>
      </c>
      <c r="H22" s="143">
        <v>8402608642.3591623</v>
      </c>
      <c r="I22" s="143">
        <v>8740181359.0044308</v>
      </c>
      <c r="J22" s="143">
        <v>9091317355.3867607</v>
      </c>
      <c r="K22" s="143">
        <v>9456560457.9904213</v>
      </c>
      <c r="L22" s="143">
        <v>9836476223.4577122</v>
      </c>
      <c r="M22" s="143">
        <v>10231658640.364716</v>
      </c>
      <c r="N22" s="143">
        <v>10642713925.25819</v>
      </c>
      <c r="O22" s="143">
        <v>11070284425.709225</v>
      </c>
      <c r="P22" s="143">
        <v>11515032293.543598</v>
      </c>
      <c r="Q22" s="144">
        <v>11977646137.106947</v>
      </c>
      <c r="S22" s="214">
        <v>4848349813</v>
      </c>
      <c r="T22" s="345">
        <f t="shared" si="0"/>
        <v>1.9484458140876331E-2</v>
      </c>
    </row>
    <row r="23" spans="1:20" outlineLevel="1" x14ac:dyDescent="0.25">
      <c r="A23" s="107" t="s">
        <v>999</v>
      </c>
      <c r="B23" s="139" t="s">
        <v>424</v>
      </c>
      <c r="C23" s="139" t="s">
        <v>11</v>
      </c>
      <c r="D23" s="150">
        <v>1330608327</v>
      </c>
      <c r="E23" s="143">
        <v>1273576572</v>
      </c>
      <c r="F23" s="143">
        <v>953946575</v>
      </c>
      <c r="G23" s="143">
        <v>972785777.09960794</v>
      </c>
      <c r="H23" s="143">
        <v>1011867516.7160391</v>
      </c>
      <c r="I23" s="143">
        <v>1052519043.0504882</v>
      </c>
      <c r="J23" s="143">
        <v>1094803900.5050945</v>
      </c>
      <c r="K23" s="143">
        <v>1138787578.3079753</v>
      </c>
      <c r="L23" s="143">
        <v>1184538182.4985244</v>
      </c>
      <c r="M23" s="143">
        <v>1232127242.9754932</v>
      </c>
      <c r="N23" s="143">
        <v>1281627762.1668029</v>
      </c>
      <c r="O23" s="143">
        <v>1333117093.5074747</v>
      </c>
      <c r="P23" s="143">
        <v>1386674975.3207076</v>
      </c>
      <c r="Q23" s="144">
        <v>1442384331.9037459</v>
      </c>
      <c r="S23" s="214">
        <v>1908971240</v>
      </c>
      <c r="T23" s="345">
        <f t="shared" si="0"/>
        <v>7.6717381485519442E-3</v>
      </c>
    </row>
    <row r="24" spans="1:20" outlineLevel="1" x14ac:dyDescent="0.25">
      <c r="A24" s="107" t="s">
        <v>1000</v>
      </c>
      <c r="B24" s="140" t="s">
        <v>1051</v>
      </c>
      <c r="C24" s="140" t="s">
        <v>11</v>
      </c>
      <c r="D24" s="151">
        <v>-11616208778</v>
      </c>
      <c r="E24" s="146">
        <v>-12020431155</v>
      </c>
      <c r="F24" s="146">
        <v>-3628777942</v>
      </c>
      <c r="G24" s="146">
        <v>-3628777942</v>
      </c>
      <c r="H24" s="146">
        <v>-3628777942</v>
      </c>
      <c r="I24" s="146">
        <v>-3628777942</v>
      </c>
      <c r="J24" s="146">
        <v>-3628777942</v>
      </c>
      <c r="K24" s="146">
        <v>-3628777942</v>
      </c>
      <c r="L24" s="146">
        <v>-3628777942</v>
      </c>
      <c r="M24" s="146">
        <v>-3628777942</v>
      </c>
      <c r="N24" s="146">
        <v>-3628777942</v>
      </c>
      <c r="O24" s="146">
        <v>-3628777942</v>
      </c>
      <c r="P24" s="146">
        <v>-3628777942</v>
      </c>
      <c r="Q24" s="147">
        <v>-3628777942</v>
      </c>
      <c r="S24" s="200">
        <v>-5247869148</v>
      </c>
      <c r="T24" s="346">
        <f t="shared" si="0"/>
        <v>-2.1090039020870942E-2</v>
      </c>
    </row>
    <row r="25" spans="1:20" outlineLevel="1" x14ac:dyDescent="0.25">
      <c r="A25" s="107"/>
      <c r="B25" s="108"/>
      <c r="C25" s="10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</row>
    <row r="26" spans="1:20" s="16" customFormat="1" outlineLevel="1" x14ac:dyDescent="0.25">
      <c r="A26" s="261"/>
      <c r="B26" s="172" t="s">
        <v>1072</v>
      </c>
      <c r="C26" s="173" t="s">
        <v>11</v>
      </c>
      <c r="D26" s="177">
        <v>186657194</v>
      </c>
      <c r="E26" s="175">
        <v>749712579</v>
      </c>
      <c r="F26" s="175">
        <v>811293776</v>
      </c>
      <c r="G26" s="175">
        <v>1132634847.919127</v>
      </c>
      <c r="H26" s="175">
        <v>1355076813.8346429</v>
      </c>
      <c r="I26" s="175">
        <v>1474646237.4592814</v>
      </c>
      <c r="J26" s="175">
        <v>1487210320.4390006</v>
      </c>
      <c r="K26" s="175">
        <v>1388470147.4276438</v>
      </c>
      <c r="L26" s="175">
        <v>1380495513.1562486</v>
      </c>
      <c r="M26" s="175">
        <v>1435956940.114728</v>
      </c>
      <c r="N26" s="175">
        <v>1493646450.0259809</v>
      </c>
      <c r="O26" s="175">
        <v>1553653630.3592949</v>
      </c>
      <c r="P26" s="175">
        <v>1616071576.74086</v>
      </c>
      <c r="Q26" s="176">
        <v>1680997027.6053467</v>
      </c>
    </row>
    <row r="27" spans="1:20" outlineLevel="1" x14ac:dyDescent="0.25">
      <c r="A27" s="107" t="s">
        <v>1001</v>
      </c>
      <c r="B27" s="139" t="s">
        <v>1052</v>
      </c>
      <c r="C27" s="139" t="s">
        <v>11</v>
      </c>
      <c r="D27" s="150">
        <v>374245259</v>
      </c>
      <c r="E27" s="143">
        <v>981987430</v>
      </c>
      <c r="F27" s="143">
        <v>915936918</v>
      </c>
      <c r="G27" s="143">
        <v>1505113257.8989089</v>
      </c>
      <c r="H27" s="143">
        <v>2117959800.2680306</v>
      </c>
      <c r="I27" s="143">
        <v>2755427300.3658366</v>
      </c>
      <c r="J27" s="143">
        <v>3418504999.6819448</v>
      </c>
      <c r="K27" s="143">
        <v>4108221803.8382349</v>
      </c>
      <c r="L27" s="143">
        <v>4825647867.4838228</v>
      </c>
      <c r="M27" s="143">
        <v>5571896667.9858704</v>
      </c>
      <c r="N27" s="143">
        <v>6348125897.2799444</v>
      </c>
      <c r="O27" s="143">
        <v>7155540097.0960875</v>
      </c>
      <c r="P27" s="143">
        <v>7995392103.3875074</v>
      </c>
      <c r="Q27" s="144">
        <v>8868984975.9440365</v>
      </c>
      <c r="S27" s="291">
        <v>922593401</v>
      </c>
    </row>
    <row r="28" spans="1:20" outlineLevel="1" x14ac:dyDescent="0.25">
      <c r="A28" s="107" t="s">
        <v>1002</v>
      </c>
      <c r="B28" s="140" t="s">
        <v>1053</v>
      </c>
      <c r="C28" s="140" t="s">
        <v>11</v>
      </c>
      <c r="D28" s="151">
        <v>-187588065</v>
      </c>
      <c r="E28" s="146">
        <v>-232274851</v>
      </c>
      <c r="F28" s="146">
        <v>-104643142</v>
      </c>
      <c r="G28" s="146">
        <v>-372478409.97978175</v>
      </c>
      <c r="H28" s="146">
        <v>-762882986.43338788</v>
      </c>
      <c r="I28" s="146">
        <v>-1280781062.9065552</v>
      </c>
      <c r="J28" s="146">
        <v>-1931294679.2429442</v>
      </c>
      <c r="K28" s="146">
        <v>-2719751656.4105911</v>
      </c>
      <c r="L28" s="146">
        <v>-3445152354.3275743</v>
      </c>
      <c r="M28" s="146">
        <v>-4135939727.8711424</v>
      </c>
      <c r="N28" s="146">
        <v>-4854479447.2539635</v>
      </c>
      <c r="O28" s="146">
        <v>-5601886466.7367926</v>
      </c>
      <c r="P28" s="146">
        <v>-6379320526.6466475</v>
      </c>
      <c r="Q28" s="147">
        <v>-7187987948.3386898</v>
      </c>
      <c r="S28" s="291">
        <v>-152047666</v>
      </c>
    </row>
    <row r="29" spans="1:20" outlineLevel="1" x14ac:dyDescent="0.25">
      <c r="B29" s="108"/>
      <c r="C29" s="108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</row>
    <row r="30" spans="1:20" s="16" customFormat="1" outlineLevel="1" x14ac:dyDescent="0.25">
      <c r="B30" s="172" t="s">
        <v>150</v>
      </c>
      <c r="C30" s="173" t="s">
        <v>11</v>
      </c>
      <c r="D30" s="177">
        <v>66227116643</v>
      </c>
      <c r="E30" s="175">
        <v>55723908783</v>
      </c>
      <c r="F30" s="175">
        <v>44944686461</v>
      </c>
      <c r="G30" s="175">
        <v>45787288808.393173</v>
      </c>
      <c r="H30" s="175">
        <v>46748890783.74556</v>
      </c>
      <c r="I30" s="175">
        <v>47749117191.473373</v>
      </c>
      <c r="J30" s="175">
        <v>48789531534.716904</v>
      </c>
      <c r="K30" s="175">
        <v>49871745168.849289</v>
      </c>
      <c r="L30" s="175">
        <v>50997433835.602005</v>
      </c>
      <c r="M30" s="175">
        <v>52168357520.395668</v>
      </c>
      <c r="N30" s="175">
        <v>53386312440.07177</v>
      </c>
      <c r="O30" s="175">
        <v>54653201867.530815</v>
      </c>
      <c r="P30" s="175">
        <v>55970987755.588936</v>
      </c>
      <c r="Q30" s="176">
        <v>57341710447.608971</v>
      </c>
    </row>
    <row r="31" spans="1:20" outlineLevel="1" x14ac:dyDescent="0.25">
      <c r="A31" s="107" t="s">
        <v>1003</v>
      </c>
      <c r="B31" s="139" t="s">
        <v>1055</v>
      </c>
      <c r="C31" s="139" t="s">
        <v>11</v>
      </c>
      <c r="D31" s="150">
        <v>44893014070</v>
      </c>
      <c r="E31" s="143">
        <v>33658167614</v>
      </c>
      <c r="F31" s="143">
        <v>19662581082</v>
      </c>
      <c r="G31" s="143">
        <v>20457511802.045444</v>
      </c>
      <c r="H31" s="143">
        <v>21279393832.261166</v>
      </c>
      <c r="I31" s="143">
        <v>22134288197.840492</v>
      </c>
      <c r="J31" s="143">
        <v>23023531226.253761</v>
      </c>
      <c r="K31" s="143">
        <v>23948500144.315628</v>
      </c>
      <c r="L31" s="143">
        <v>24910627209.916248</v>
      </c>
      <c r="M31" s="143">
        <v>25911416684.098862</v>
      </c>
      <c r="N31" s="143">
        <v>26952403794.933136</v>
      </c>
      <c r="O31" s="143">
        <v>28035215271.39386</v>
      </c>
      <c r="P31" s="143">
        <v>29161527996.229858</v>
      </c>
      <c r="Q31" s="144">
        <v>30333085852.657242</v>
      </c>
      <c r="S31" s="291">
        <v>18373607177</v>
      </c>
    </row>
    <row r="32" spans="1:20" outlineLevel="1" x14ac:dyDescent="0.25">
      <c r="A32" s="107" t="s">
        <v>1054</v>
      </c>
      <c r="B32" s="139" t="s">
        <v>1056</v>
      </c>
      <c r="C32" s="139" t="s">
        <v>11</v>
      </c>
      <c r="D32" s="150">
        <v>0</v>
      </c>
      <c r="E32" s="143">
        <v>961610946</v>
      </c>
      <c r="F32" s="143">
        <v>3430105379</v>
      </c>
      <c r="G32" s="143">
        <v>3477777006.3477254</v>
      </c>
      <c r="H32" s="143">
        <v>3617496951.4843984</v>
      </c>
      <c r="I32" s="143">
        <v>3762828993.6328831</v>
      </c>
      <c r="J32" s="143">
        <v>3914000308.4631395</v>
      </c>
      <c r="K32" s="143">
        <v>4071245024.5336566</v>
      </c>
      <c r="L32" s="143">
        <v>4234806625.6857619</v>
      </c>
      <c r="M32" s="143">
        <v>4404940836.2968063</v>
      </c>
      <c r="N32" s="143">
        <v>4581908645.1386337</v>
      </c>
      <c r="O32" s="143">
        <v>4765986596.1369562</v>
      </c>
      <c r="P32" s="143">
        <v>4957459759.3590755</v>
      </c>
      <c r="Q32" s="144">
        <v>5156624594.9517307</v>
      </c>
      <c r="S32" s="291">
        <v>4403460935</v>
      </c>
    </row>
    <row r="33" spans="1:19" outlineLevel="1" x14ac:dyDescent="0.25">
      <c r="A33" s="107" t="s">
        <v>1004</v>
      </c>
      <c r="B33" s="140" t="s">
        <v>169</v>
      </c>
      <c r="C33" s="140" t="s">
        <v>11</v>
      </c>
      <c r="D33" s="151">
        <v>21334102573</v>
      </c>
      <c r="E33" s="146">
        <v>21104130223</v>
      </c>
      <c r="F33" s="146">
        <v>21852000000</v>
      </c>
      <c r="G33" s="146">
        <v>21852000000</v>
      </c>
      <c r="H33" s="146">
        <v>21852000000</v>
      </c>
      <c r="I33" s="146">
        <v>21852000000</v>
      </c>
      <c r="J33" s="146">
        <v>21852000000</v>
      </c>
      <c r="K33" s="146">
        <v>21852000000</v>
      </c>
      <c r="L33" s="146">
        <v>21852000000</v>
      </c>
      <c r="M33" s="146">
        <v>21852000000</v>
      </c>
      <c r="N33" s="146">
        <v>21852000000</v>
      </c>
      <c r="O33" s="146">
        <v>21852000000</v>
      </c>
      <c r="P33" s="146">
        <v>21852000000</v>
      </c>
      <c r="Q33" s="147">
        <v>21852000000</v>
      </c>
      <c r="S33" s="291">
        <v>21852000000</v>
      </c>
    </row>
    <row r="34" spans="1:19" outlineLevel="1" x14ac:dyDescent="0.25">
      <c r="A34" s="107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</row>
    <row r="35" spans="1:19" s="16" customFormat="1" outlineLevel="1" x14ac:dyDescent="0.25">
      <c r="A35" s="261"/>
      <c r="B35" s="152" t="s">
        <v>1096</v>
      </c>
      <c r="C35" s="138" t="s">
        <v>11</v>
      </c>
      <c r="D35" s="153">
        <v>359546196656</v>
      </c>
      <c r="E35" s="134">
        <v>522189162208</v>
      </c>
      <c r="F35" s="134">
        <v>983909878171.19678</v>
      </c>
      <c r="G35" s="134">
        <v>778461990799.25549</v>
      </c>
      <c r="H35" s="134">
        <v>786145965605.79443</v>
      </c>
      <c r="I35" s="134">
        <v>801498154429.43298</v>
      </c>
      <c r="J35" s="134">
        <v>817420012444.30127</v>
      </c>
      <c r="K35" s="134">
        <v>832384725700.60278</v>
      </c>
      <c r="L35" s="134">
        <v>866335560971.84497</v>
      </c>
      <c r="M35" s="134">
        <v>901649920915.58667</v>
      </c>
      <c r="N35" s="134">
        <v>938381933914.72388</v>
      </c>
      <c r="O35" s="134">
        <v>976588943801.93274</v>
      </c>
      <c r="P35" s="134">
        <v>1016330066917.3085</v>
      </c>
      <c r="Q35" s="135">
        <v>1057666781205.6787</v>
      </c>
      <c r="S35" s="135">
        <v>975820431517.19678</v>
      </c>
    </row>
    <row r="36" spans="1:19" outlineLevel="1" x14ac:dyDescent="0.25">
      <c r="A36" s="107"/>
      <c r="B36" s="108"/>
      <c r="C36" s="108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</row>
    <row r="37" spans="1:19" s="16" customFormat="1" outlineLevel="1" x14ac:dyDescent="0.25">
      <c r="A37" s="261"/>
      <c r="B37" s="172" t="s">
        <v>1070</v>
      </c>
      <c r="C37" s="173" t="s">
        <v>11</v>
      </c>
      <c r="D37" s="177">
        <v>324534582843</v>
      </c>
      <c r="E37" s="175">
        <v>510380337595</v>
      </c>
      <c r="F37" s="175">
        <v>961509589128.19678</v>
      </c>
      <c r="G37" s="175">
        <v>756423994574.36182</v>
      </c>
      <c r="H37" s="175">
        <v>763556762281.07373</v>
      </c>
      <c r="I37" s="175">
        <v>778601504751.38843</v>
      </c>
      <c r="J37" s="175">
        <v>794069042847.66113</v>
      </c>
      <c r="K37" s="175">
        <v>808561905101.94226</v>
      </c>
      <c r="L37" s="175">
        <v>842022674890.7085</v>
      </c>
      <c r="M37" s="175">
        <v>876828042497.47046</v>
      </c>
      <c r="N37" s="175">
        <v>913031399947.92725</v>
      </c>
      <c r="O37" s="175">
        <v>950689321478.14453</v>
      </c>
      <c r="P37" s="175">
        <v>989860125567.69421</v>
      </c>
      <c r="Q37" s="176">
        <v>1030604460832.4602</v>
      </c>
      <c r="S37" s="176">
        <v>960603235601.19678</v>
      </c>
    </row>
    <row r="38" spans="1:19" outlineLevel="1" x14ac:dyDescent="0.25">
      <c r="A38" s="107" t="s">
        <v>1008</v>
      </c>
      <c r="B38" s="139" t="s">
        <v>1058</v>
      </c>
      <c r="C38" s="139" t="s">
        <v>11</v>
      </c>
      <c r="D38" s="150">
        <v>231337558977</v>
      </c>
      <c r="E38" s="143">
        <v>367888340238</v>
      </c>
      <c r="F38" s="143">
        <v>632774601960</v>
      </c>
      <c r="G38" s="143">
        <v>424347999641.95117</v>
      </c>
      <c r="H38" s="143">
        <v>424549879575.01392</v>
      </c>
      <c r="I38" s="143">
        <v>432385342990.27979</v>
      </c>
      <c r="J38" s="143">
        <v>440353941571.09106</v>
      </c>
      <c r="K38" s="143">
        <v>447046589768.47424</v>
      </c>
      <c r="L38" s="143">
        <v>472393792803.72729</v>
      </c>
      <c r="M38" s="143">
        <v>498759555606.39282</v>
      </c>
      <c r="N38" s="143">
        <v>526184323704.90356</v>
      </c>
      <c r="O38" s="143">
        <v>554710953215.75537</v>
      </c>
      <c r="P38" s="143">
        <v>584383621554.82239</v>
      </c>
      <c r="Q38" s="144">
        <v>615248271262.88635</v>
      </c>
      <c r="S38" s="291">
        <v>646093054781</v>
      </c>
    </row>
    <row r="39" spans="1:19" outlineLevel="1" x14ac:dyDescent="0.25">
      <c r="A39" s="107" t="s">
        <v>1011</v>
      </c>
      <c r="B39" s="139" t="s">
        <v>1059</v>
      </c>
      <c r="C39" s="139" t="s">
        <v>11</v>
      </c>
      <c r="D39" s="150">
        <v>0</v>
      </c>
      <c r="E39" s="143">
        <v>142266136916</v>
      </c>
      <c r="F39" s="143">
        <v>169176109310.19681</v>
      </c>
      <c r="G39" s="143">
        <v>172517117074.41061</v>
      </c>
      <c r="H39" s="143">
        <v>179448004848.05978</v>
      </c>
      <c r="I39" s="143">
        <v>186657283903.10867</v>
      </c>
      <c r="J39" s="143">
        <v>194156223418.57007</v>
      </c>
      <c r="K39" s="143">
        <v>201956437475.46799</v>
      </c>
      <c r="L39" s="143">
        <v>210070004228.98126</v>
      </c>
      <c r="M39" s="143">
        <v>218509609033.07761</v>
      </c>
      <c r="N39" s="143">
        <v>227288198385.02374</v>
      </c>
      <c r="O39" s="143">
        <v>236419490404.3891</v>
      </c>
      <c r="P39" s="143">
        <v>245917626154.87186</v>
      </c>
      <c r="Q39" s="144">
        <v>255797311711.57385</v>
      </c>
      <c r="S39" s="291">
        <v>197198477004.19681</v>
      </c>
    </row>
    <row r="40" spans="1:19" outlineLevel="1" x14ac:dyDescent="0.25">
      <c r="A40" s="107" t="s">
        <v>1012</v>
      </c>
      <c r="B40" s="140" t="s">
        <v>1060</v>
      </c>
      <c r="C40" s="140" t="s">
        <v>11</v>
      </c>
      <c r="D40" s="151">
        <v>93197023866</v>
      </c>
      <c r="E40" s="146">
        <v>225860441</v>
      </c>
      <c r="F40" s="146">
        <v>159558877858</v>
      </c>
      <c r="G40" s="146">
        <v>159558877858</v>
      </c>
      <c r="H40" s="146">
        <v>159558877858</v>
      </c>
      <c r="I40" s="146">
        <v>159558877858</v>
      </c>
      <c r="J40" s="146">
        <v>159558877858</v>
      </c>
      <c r="K40" s="146">
        <v>159558877858</v>
      </c>
      <c r="L40" s="146">
        <v>159558877858</v>
      </c>
      <c r="M40" s="146">
        <v>159558877858</v>
      </c>
      <c r="N40" s="146">
        <v>159558877858</v>
      </c>
      <c r="O40" s="146">
        <v>159558877858</v>
      </c>
      <c r="P40" s="146">
        <v>159558877858</v>
      </c>
      <c r="Q40" s="147">
        <v>159558877858</v>
      </c>
      <c r="S40" s="291">
        <v>117311703816</v>
      </c>
    </row>
    <row r="41" spans="1:19" outlineLevel="1" x14ac:dyDescent="0.25">
      <c r="A41" s="107"/>
      <c r="B41" s="108"/>
      <c r="C41" s="10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</row>
    <row r="42" spans="1:19" s="16" customFormat="1" outlineLevel="1" x14ac:dyDescent="0.25">
      <c r="A42" s="261"/>
      <c r="B42" s="172" t="s">
        <v>1071</v>
      </c>
      <c r="C42" s="173" t="s">
        <v>11</v>
      </c>
      <c r="D42" s="177">
        <v>35011613813</v>
      </c>
      <c r="E42" s="175">
        <v>11808824613</v>
      </c>
      <c r="F42" s="175">
        <v>22400289043</v>
      </c>
      <c r="G42" s="175">
        <v>22037996224.893723</v>
      </c>
      <c r="H42" s="175">
        <v>22589203324.720741</v>
      </c>
      <c r="I42" s="175">
        <v>22896649678.044544</v>
      </c>
      <c r="J42" s="175">
        <v>23350969596.640099</v>
      </c>
      <c r="K42" s="175">
        <v>23822820598.660572</v>
      </c>
      <c r="L42" s="175">
        <v>24312886081.136501</v>
      </c>
      <c r="M42" s="175">
        <v>24821878418.116188</v>
      </c>
      <c r="N42" s="175">
        <v>25350533966.796638</v>
      </c>
      <c r="O42" s="175">
        <v>25899622323.788185</v>
      </c>
      <c r="P42" s="175">
        <v>26469941349.614307</v>
      </c>
      <c r="Q42" s="176">
        <v>27062320373.218536</v>
      </c>
      <c r="S42" s="176">
        <v>15217195916</v>
      </c>
    </row>
    <row r="43" spans="1:19" outlineLevel="1" x14ac:dyDescent="0.25">
      <c r="A43" s="107" t="s">
        <v>1005</v>
      </c>
      <c r="B43" s="139" t="s">
        <v>1061</v>
      </c>
      <c r="C43" s="139" t="s">
        <v>11</v>
      </c>
      <c r="D43" s="150">
        <v>23586277715</v>
      </c>
      <c r="E43" s="143">
        <v>0</v>
      </c>
      <c r="F43" s="143">
        <v>11000000000</v>
      </c>
      <c r="G43" s="143">
        <v>11000000000</v>
      </c>
      <c r="H43" s="143">
        <v>11000000000</v>
      </c>
      <c r="I43" s="143">
        <v>11000000000</v>
      </c>
      <c r="J43" s="143">
        <v>11000000000</v>
      </c>
      <c r="K43" s="143">
        <v>11000000000</v>
      </c>
      <c r="L43" s="143">
        <v>11000000000</v>
      </c>
      <c r="M43" s="143">
        <v>11000000000</v>
      </c>
      <c r="N43" s="143">
        <v>11000000000</v>
      </c>
      <c r="O43" s="143">
        <v>11000000000</v>
      </c>
      <c r="P43" s="143">
        <v>11000000000</v>
      </c>
      <c r="Q43" s="144">
        <v>11000000000</v>
      </c>
      <c r="S43" s="291">
        <v>1680379586</v>
      </c>
    </row>
    <row r="44" spans="1:19" outlineLevel="1" x14ac:dyDescent="0.25">
      <c r="A44" s="107"/>
      <c r="B44" s="139" t="s">
        <v>1399</v>
      </c>
      <c r="C44" s="139" t="s">
        <v>11</v>
      </c>
      <c r="D44" s="150">
        <v>0</v>
      </c>
      <c r="E44" s="143">
        <v>0</v>
      </c>
      <c r="F44" s="143">
        <v>0</v>
      </c>
      <c r="G44" s="143">
        <v>0</v>
      </c>
      <c r="H44" s="143">
        <v>0</v>
      </c>
      <c r="I44" s="143">
        <v>0</v>
      </c>
      <c r="J44" s="143">
        <v>0</v>
      </c>
      <c r="K44" s="143">
        <v>0</v>
      </c>
      <c r="L44" s="143">
        <v>0</v>
      </c>
      <c r="M44" s="143">
        <v>0</v>
      </c>
      <c r="N44" s="143">
        <v>0</v>
      </c>
      <c r="O44" s="143">
        <v>0</v>
      </c>
      <c r="P44" s="143">
        <v>0</v>
      </c>
      <c r="Q44" s="144">
        <v>0</v>
      </c>
      <c r="S44" s="291">
        <v>0</v>
      </c>
    </row>
    <row r="45" spans="1:19" outlineLevel="1" x14ac:dyDescent="0.25">
      <c r="A45" s="107" t="s">
        <v>1007</v>
      </c>
      <c r="B45" s="139" t="s">
        <v>1062</v>
      </c>
      <c r="C45" s="139" t="s">
        <v>11</v>
      </c>
      <c r="D45" s="150">
        <v>319190782</v>
      </c>
      <c r="E45" s="143">
        <v>1168712162</v>
      </c>
      <c r="F45" s="143">
        <v>2344303138</v>
      </c>
      <c r="G45" s="143">
        <v>2005555555.5555556</v>
      </c>
      <c r="H45" s="143">
        <v>2095805555.5555556</v>
      </c>
      <c r="I45" s="143">
        <v>2190116805.5555553</v>
      </c>
      <c r="J45" s="143">
        <v>2288672061.8055553</v>
      </c>
      <c r="K45" s="143">
        <v>2391662304.5868058</v>
      </c>
      <c r="L45" s="143">
        <v>2499287108.2932119</v>
      </c>
      <c r="M45" s="143">
        <v>2611755028.1664057</v>
      </c>
      <c r="N45" s="143">
        <v>2729284004.4338942</v>
      </c>
      <c r="O45" s="143">
        <v>2852101784.6334195</v>
      </c>
      <c r="P45" s="143">
        <v>2980446364.9419231</v>
      </c>
      <c r="Q45" s="144">
        <v>3114566451.3643093</v>
      </c>
      <c r="S45" s="291">
        <v>2835094468</v>
      </c>
    </row>
    <row r="46" spans="1:19" outlineLevel="1" x14ac:dyDescent="0.25">
      <c r="A46" s="107" t="s">
        <v>1006</v>
      </c>
      <c r="B46" s="139" t="s">
        <v>1063</v>
      </c>
      <c r="C46" s="139" t="s">
        <v>11</v>
      </c>
      <c r="D46" s="150">
        <v>9421673574</v>
      </c>
      <c r="E46" s="143">
        <v>8033154825</v>
      </c>
      <c r="F46" s="143">
        <v>6024019286</v>
      </c>
      <c r="G46" s="143">
        <v>6168389017.0518064</v>
      </c>
      <c r="H46" s="143">
        <v>6514282632.6486206</v>
      </c>
      <c r="I46" s="143">
        <v>6607732524.7913198</v>
      </c>
      <c r="J46" s="143">
        <v>6839003163.1590137</v>
      </c>
      <c r="K46" s="143">
        <v>7078368273.8695784</v>
      </c>
      <c r="L46" s="143">
        <v>7326111163.4550161</v>
      </c>
      <c r="M46" s="143">
        <v>7582525054.1759424</v>
      </c>
      <c r="N46" s="143">
        <v>7847913431.0721045</v>
      </c>
      <c r="O46" s="143">
        <v>8122590401.1596241</v>
      </c>
      <c r="P46" s="143">
        <v>8406881065.2002039</v>
      </c>
      <c r="Q46" s="144">
        <v>8701121902.482214</v>
      </c>
      <c r="S46" s="291">
        <v>6546420896</v>
      </c>
    </row>
    <row r="47" spans="1:19" outlineLevel="1" x14ac:dyDescent="0.25">
      <c r="A47" s="107" t="s">
        <v>1010</v>
      </c>
      <c r="B47" s="139" t="s">
        <v>1055</v>
      </c>
      <c r="C47" s="139" t="s">
        <v>11</v>
      </c>
      <c r="D47" s="150">
        <v>439681158</v>
      </c>
      <c r="E47" s="143">
        <v>1160181023</v>
      </c>
      <c r="F47" s="143">
        <v>2279145562</v>
      </c>
      <c r="G47" s="143">
        <v>2045751180.2045443</v>
      </c>
      <c r="H47" s="143">
        <v>2127939383.2261167</v>
      </c>
      <c r="I47" s="143">
        <v>2213428819.784049</v>
      </c>
      <c r="J47" s="143">
        <v>2302353122.6253762</v>
      </c>
      <c r="K47" s="143">
        <v>2394850014.4315629</v>
      </c>
      <c r="L47" s="143">
        <v>2491062720.9916248</v>
      </c>
      <c r="M47" s="143">
        <v>2591141668.4098864</v>
      </c>
      <c r="N47" s="143">
        <v>2695240379.4933138</v>
      </c>
      <c r="O47" s="143">
        <v>2803521527.1393862</v>
      </c>
      <c r="P47" s="143">
        <v>2916152799.6229858</v>
      </c>
      <c r="Q47" s="144">
        <v>3033308585.2657242</v>
      </c>
      <c r="S47" s="291">
        <v>2952212262</v>
      </c>
    </row>
    <row r="48" spans="1:19" outlineLevel="1" x14ac:dyDescent="0.25">
      <c r="A48" s="107" t="s">
        <v>1009</v>
      </c>
      <c r="B48" s="140" t="s">
        <v>1064</v>
      </c>
      <c r="C48" s="140" t="s">
        <v>11</v>
      </c>
      <c r="D48" s="151">
        <v>1244790584</v>
      </c>
      <c r="E48" s="146">
        <v>1446776603</v>
      </c>
      <c r="F48" s="146">
        <v>752821057</v>
      </c>
      <c r="G48" s="146">
        <v>818300472.08181775</v>
      </c>
      <c r="H48" s="146">
        <v>851175753.29044676</v>
      </c>
      <c r="I48" s="146">
        <v>885371527.91361964</v>
      </c>
      <c r="J48" s="146">
        <v>920941249.05015051</v>
      </c>
      <c r="K48" s="146">
        <v>957940005.77262521</v>
      </c>
      <c r="L48" s="146">
        <v>996425088.39664996</v>
      </c>
      <c r="M48" s="146">
        <v>1036456667.3639545</v>
      </c>
      <c r="N48" s="146">
        <v>1078096151.7973256</v>
      </c>
      <c r="O48" s="146">
        <v>1121408610.8557546</v>
      </c>
      <c r="P48" s="146">
        <v>1166461119.8491943</v>
      </c>
      <c r="Q48" s="147">
        <v>1213323434.1062896</v>
      </c>
      <c r="S48" s="291">
        <v>1203088704</v>
      </c>
    </row>
    <row r="49" spans="1:20" outlineLevel="1" x14ac:dyDescent="0.25">
      <c r="A49" s="107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</row>
    <row r="50" spans="1:20" s="16" customFormat="1" outlineLevel="1" x14ac:dyDescent="0.25">
      <c r="A50" s="261"/>
      <c r="B50" s="178" t="s">
        <v>1069</v>
      </c>
      <c r="C50" s="179" t="s">
        <v>11</v>
      </c>
      <c r="D50" s="175">
        <v>-169498417215</v>
      </c>
      <c r="E50" s="175">
        <v>-288871152544</v>
      </c>
      <c r="F50" s="175">
        <v>-672239351599</v>
      </c>
      <c r="G50" s="175">
        <v>-53927276935.370468</v>
      </c>
      <c r="H50" s="175">
        <v>-73975295570.998962</v>
      </c>
      <c r="I50" s="175">
        <v>-63138430387.038666</v>
      </c>
      <c r="J50" s="175">
        <v>-27598778626.846596</v>
      </c>
      <c r="K50" s="175">
        <v>32448194820.167953</v>
      </c>
      <c r="L50" s="175">
        <v>95132418708.348419</v>
      </c>
      <c r="M50" s="175">
        <v>160515356756.29974</v>
      </c>
      <c r="N50" s="175">
        <v>228646077938.53473</v>
      </c>
      <c r="O50" s="175">
        <v>299549326790.7774</v>
      </c>
      <c r="P50" s="175">
        <v>373251004586.92957</v>
      </c>
      <c r="Q50" s="176">
        <v>449858949176.12561</v>
      </c>
      <c r="S50" s="176">
        <v>-754091351599</v>
      </c>
    </row>
    <row r="51" spans="1:20" outlineLevel="1" x14ac:dyDescent="0.25">
      <c r="A51" s="107"/>
      <c r="B51" s="180" t="s">
        <v>1065</v>
      </c>
      <c r="C51" s="181" t="s">
        <v>11</v>
      </c>
      <c r="D51" s="182">
        <v>81852000000</v>
      </c>
      <c r="E51" s="182">
        <v>81852000000</v>
      </c>
      <c r="F51" s="182">
        <v>81852000000</v>
      </c>
      <c r="G51" s="182">
        <v>765727787588</v>
      </c>
      <c r="H51" s="182">
        <v>765727787588</v>
      </c>
      <c r="I51" s="182">
        <v>765727787588</v>
      </c>
      <c r="J51" s="182">
        <v>765727787588</v>
      </c>
      <c r="K51" s="182">
        <v>765727787588</v>
      </c>
      <c r="L51" s="182">
        <v>765727787588</v>
      </c>
      <c r="M51" s="182">
        <v>765727787588</v>
      </c>
      <c r="N51" s="182">
        <v>765727787588</v>
      </c>
      <c r="O51" s="182">
        <v>765727787588</v>
      </c>
      <c r="P51" s="182">
        <v>765727787588</v>
      </c>
      <c r="Q51" s="183">
        <v>765727787588</v>
      </c>
      <c r="S51" s="291">
        <v>0</v>
      </c>
    </row>
    <row r="52" spans="1:20" outlineLevel="1" x14ac:dyDescent="0.25">
      <c r="A52" s="107" t="s">
        <v>1013</v>
      </c>
      <c r="B52" s="139" t="s">
        <v>1168</v>
      </c>
      <c r="C52" s="142" t="s">
        <v>11</v>
      </c>
      <c r="D52" s="143">
        <v>81852000000</v>
      </c>
      <c r="E52" s="143">
        <v>81852000000</v>
      </c>
      <c r="F52" s="143">
        <v>81852000000</v>
      </c>
      <c r="G52" s="143">
        <v>81852000000</v>
      </c>
      <c r="H52" s="143">
        <v>81852000000</v>
      </c>
      <c r="I52" s="143">
        <v>81852000000</v>
      </c>
      <c r="J52" s="143">
        <v>81852000000</v>
      </c>
      <c r="K52" s="143">
        <v>81852000000</v>
      </c>
      <c r="L52" s="143">
        <v>81852000000</v>
      </c>
      <c r="M52" s="143">
        <v>81852000000</v>
      </c>
      <c r="N52" s="143">
        <v>81852000000</v>
      </c>
      <c r="O52" s="143">
        <v>81852000000</v>
      </c>
      <c r="P52" s="143">
        <v>81852000000</v>
      </c>
      <c r="Q52" s="144">
        <v>81852000000</v>
      </c>
      <c r="S52" s="291">
        <v>81852000000</v>
      </c>
    </row>
    <row r="53" spans="1:20" outlineLevel="1" x14ac:dyDescent="0.25">
      <c r="A53" s="107"/>
      <c r="B53" s="139" t="s">
        <v>1330</v>
      </c>
      <c r="C53" s="142" t="s">
        <v>11</v>
      </c>
      <c r="D53" s="143"/>
      <c r="E53" s="143"/>
      <c r="F53" s="143"/>
      <c r="G53" s="143">
        <v>233875787588</v>
      </c>
      <c r="H53" s="143">
        <v>233875787588</v>
      </c>
      <c r="I53" s="143">
        <v>233875787588</v>
      </c>
      <c r="J53" s="143">
        <v>233875787588</v>
      </c>
      <c r="K53" s="143">
        <v>233875787588</v>
      </c>
      <c r="L53" s="143">
        <v>233875787588</v>
      </c>
      <c r="M53" s="143">
        <v>233875787588</v>
      </c>
      <c r="N53" s="143">
        <v>233875787588</v>
      </c>
      <c r="O53" s="143">
        <v>233875787588</v>
      </c>
      <c r="P53" s="143">
        <v>233875787588</v>
      </c>
      <c r="Q53" s="144">
        <v>233875787588</v>
      </c>
      <c r="S53" s="291">
        <v>0</v>
      </c>
    </row>
    <row r="54" spans="1:20" outlineLevel="1" x14ac:dyDescent="0.25">
      <c r="A54" s="107"/>
      <c r="B54" s="139" t="s">
        <v>1416</v>
      </c>
      <c r="C54" s="142"/>
      <c r="D54" s="143"/>
      <c r="E54" s="143"/>
      <c r="F54" s="143"/>
      <c r="G54" s="276">
        <v>450000000000</v>
      </c>
      <c r="H54" s="143">
        <v>450000000000</v>
      </c>
      <c r="I54" s="143">
        <v>450000000000</v>
      </c>
      <c r="J54" s="143">
        <v>450000000000</v>
      </c>
      <c r="K54" s="143">
        <v>450000000000</v>
      </c>
      <c r="L54" s="143">
        <v>450000000000</v>
      </c>
      <c r="M54" s="143">
        <v>450000000000</v>
      </c>
      <c r="N54" s="143">
        <v>450000000000</v>
      </c>
      <c r="O54" s="143">
        <v>450000000000</v>
      </c>
      <c r="P54" s="143">
        <v>450000000000</v>
      </c>
      <c r="Q54" s="144">
        <v>450000000000</v>
      </c>
      <c r="S54" s="291">
        <v>0</v>
      </c>
    </row>
    <row r="55" spans="1:20" outlineLevel="1" x14ac:dyDescent="0.25">
      <c r="A55" s="107"/>
      <c r="B55" s="139" t="s">
        <v>1417</v>
      </c>
      <c r="C55" s="142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4"/>
      <c r="S55" s="291">
        <v>0</v>
      </c>
    </row>
    <row r="56" spans="1:20" outlineLevel="1" x14ac:dyDescent="0.25">
      <c r="A56" s="107" t="s">
        <v>1014</v>
      </c>
      <c r="B56" s="154" t="s">
        <v>1066</v>
      </c>
      <c r="C56" s="142" t="s">
        <v>11</v>
      </c>
      <c r="D56" s="143">
        <v>-142020232589</v>
      </c>
      <c r="E56" s="143">
        <v>-251350417215</v>
      </c>
      <c r="F56" s="143">
        <v>-370723152544</v>
      </c>
      <c r="G56" s="143">
        <v>-765723258680</v>
      </c>
      <c r="H56" s="143">
        <v>-831286971604.37048</v>
      </c>
      <c r="I56" s="143">
        <v>-851334990239.9989</v>
      </c>
      <c r="J56" s="143">
        <v>-840498125056.0387</v>
      </c>
      <c r="K56" s="143">
        <v>-804958473295.84656</v>
      </c>
      <c r="L56" s="143">
        <v>-744911499848.83203</v>
      </c>
      <c r="M56" s="143">
        <v>-682227275960.65161</v>
      </c>
      <c r="N56" s="143">
        <v>-616844337912.7002</v>
      </c>
      <c r="O56" s="143">
        <v>-548713616730.46527</v>
      </c>
      <c r="P56" s="143">
        <v>-477810367878.2226</v>
      </c>
      <c r="Q56" s="144">
        <v>-404108690082.07043</v>
      </c>
      <c r="S56" s="291">
        <v>-765723258680</v>
      </c>
    </row>
    <row r="57" spans="1:20" outlineLevel="1" x14ac:dyDescent="0.25">
      <c r="A57" s="107"/>
      <c r="B57" s="154" t="s">
        <v>1067</v>
      </c>
      <c r="C57" s="142" t="s">
        <v>11</v>
      </c>
      <c r="D57" s="143">
        <v>-109330184626</v>
      </c>
      <c r="E57" s="143">
        <v>-119372735329</v>
      </c>
      <c r="F57" s="143">
        <v>-395000106136</v>
      </c>
      <c r="G57" s="143">
        <v>-65563712924.370468</v>
      </c>
      <c r="H57" s="143">
        <v>-20048018635.628471</v>
      </c>
      <c r="I57" s="143">
        <v>10836865183.960243</v>
      </c>
      <c r="J57" s="143">
        <v>35539651760.192101</v>
      </c>
      <c r="K57" s="143">
        <v>60046973447.014511</v>
      </c>
      <c r="L57" s="143">
        <v>62684223888.180443</v>
      </c>
      <c r="M57" s="143">
        <v>65382938047.951363</v>
      </c>
      <c r="N57" s="143">
        <v>68130721182.234924</v>
      </c>
      <c r="O57" s="143">
        <v>70903248852.242676</v>
      </c>
      <c r="P57" s="143">
        <v>73701677796.152161</v>
      </c>
      <c r="Q57" s="144">
        <v>76607944589.196014</v>
      </c>
      <c r="S57" s="291">
        <v>0</v>
      </c>
    </row>
    <row r="58" spans="1:20" outlineLevel="1" x14ac:dyDescent="0.25">
      <c r="A58" s="107" t="s">
        <v>1015</v>
      </c>
      <c r="B58" s="141" t="s">
        <v>1068</v>
      </c>
      <c r="C58" s="145" t="s">
        <v>11</v>
      </c>
      <c r="D58" s="146">
        <v>0</v>
      </c>
      <c r="E58" s="146">
        <v>0</v>
      </c>
      <c r="F58" s="146">
        <v>11631907081</v>
      </c>
      <c r="G58" s="146">
        <v>11631907081</v>
      </c>
      <c r="H58" s="146">
        <v>11631907081</v>
      </c>
      <c r="I58" s="146">
        <v>11631907081</v>
      </c>
      <c r="J58" s="146">
        <v>11631907081</v>
      </c>
      <c r="K58" s="146">
        <v>11631907081</v>
      </c>
      <c r="L58" s="146">
        <v>11631907081</v>
      </c>
      <c r="M58" s="146">
        <v>11631907081</v>
      </c>
      <c r="N58" s="146">
        <v>11631907081</v>
      </c>
      <c r="O58" s="146">
        <v>11631907081</v>
      </c>
      <c r="P58" s="146">
        <v>11631907081</v>
      </c>
      <c r="Q58" s="147">
        <v>11631907081</v>
      </c>
      <c r="S58" s="291">
        <v>11631907081</v>
      </c>
    </row>
    <row r="59" spans="1:20" x14ac:dyDescent="0.25"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1:20" s="260" customFormat="1" x14ac:dyDescent="0.25">
      <c r="B60" s="168" t="s">
        <v>1098</v>
      </c>
      <c r="C60" s="169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1"/>
    </row>
    <row r="61" spans="1:20" outlineLevel="1" x14ac:dyDescent="0.25">
      <c r="E61" s="6"/>
      <c r="F61" s="6">
        <f>((F62/D62)^(1/2))-1</f>
        <v>0.1015265440390678</v>
      </c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</row>
    <row r="62" spans="1:20" s="16" customFormat="1" outlineLevel="1" x14ac:dyDescent="0.25">
      <c r="A62" s="261"/>
      <c r="B62" s="172" t="s">
        <v>1079</v>
      </c>
      <c r="C62" s="332" t="s">
        <v>11</v>
      </c>
      <c r="D62" s="333">
        <v>1190425478954</v>
      </c>
      <c r="E62" s="334">
        <v>1349953464576</v>
      </c>
      <c r="F62" s="334">
        <v>1444415524848</v>
      </c>
      <c r="G62" s="334">
        <v>1472940849747.272</v>
      </c>
      <c r="H62" s="334">
        <v>1532116355922.804</v>
      </c>
      <c r="I62" s="334">
        <v>1593668750244.5151</v>
      </c>
      <c r="J62" s="334">
        <v>1657694248290.271</v>
      </c>
      <c r="K62" s="334">
        <v>1724292010390.7253</v>
      </c>
      <c r="L62" s="334">
        <v>1793565159113.97</v>
      </c>
      <c r="M62" s="334">
        <v>1865622001255.1182</v>
      </c>
      <c r="N62" s="334">
        <v>1940573073235.1858</v>
      </c>
      <c r="O62" s="334">
        <v>2018535499540.3579</v>
      </c>
      <c r="P62" s="334">
        <v>2099630015728.5498</v>
      </c>
      <c r="Q62" s="335">
        <v>2183982181391.3215</v>
      </c>
      <c r="S62" s="336">
        <v>662774737042</v>
      </c>
      <c r="T62" s="343">
        <f>+S62/$S$62</f>
        <v>1</v>
      </c>
    </row>
    <row r="63" spans="1:20" outlineLevel="1" x14ac:dyDescent="0.25">
      <c r="A63" s="107" t="s">
        <v>1016</v>
      </c>
      <c r="B63" s="139" t="s">
        <v>1076</v>
      </c>
      <c r="C63" s="337" t="s">
        <v>11</v>
      </c>
      <c r="D63" s="201">
        <v>7494929691</v>
      </c>
      <c r="E63" s="202">
        <v>27240918906</v>
      </c>
      <c r="F63" s="202">
        <v>53518151467</v>
      </c>
      <c r="G63" s="202">
        <v>95790654398.850861</v>
      </c>
      <c r="H63" s="202">
        <v>99639050932.83934</v>
      </c>
      <c r="I63" s="202">
        <v>103642025073.24997</v>
      </c>
      <c r="J63" s="202">
        <v>107805834066.03311</v>
      </c>
      <c r="K63" s="202">
        <v>112136926665.03064</v>
      </c>
      <c r="L63" s="202">
        <v>116642009302.67155</v>
      </c>
      <c r="M63" s="202">
        <v>121328125560.36082</v>
      </c>
      <c r="N63" s="202">
        <v>126202464020.1149</v>
      </c>
      <c r="O63" s="202">
        <v>131272641709.58292</v>
      </c>
      <c r="P63" s="202">
        <v>136546510497.42865</v>
      </c>
      <c r="Q63" s="203">
        <v>142032235976.61783</v>
      </c>
      <c r="R63" s="338"/>
      <c r="S63" s="339">
        <v>29146817849</v>
      </c>
      <c r="T63" s="340">
        <f t="shared" ref="T63:T69" si="1">+S63/$S$62</f>
        <v>4.3976959621430119E-2</v>
      </c>
    </row>
    <row r="64" spans="1:20" outlineLevel="1" x14ac:dyDescent="0.25">
      <c r="A64" s="107" t="s">
        <v>1017</v>
      </c>
      <c r="B64" s="139" t="s">
        <v>1077</v>
      </c>
      <c r="C64" s="139" t="s">
        <v>11</v>
      </c>
      <c r="D64" s="150">
        <v>1087684191507</v>
      </c>
      <c r="E64" s="143">
        <v>1223662739009</v>
      </c>
      <c r="F64" s="143">
        <v>1314961781294</v>
      </c>
      <c r="G64" s="143">
        <v>1299714974243.0137</v>
      </c>
      <c r="H64" s="143">
        <v>1351931118223.2319</v>
      </c>
      <c r="I64" s="143">
        <v>1406244615343.0688</v>
      </c>
      <c r="J64" s="143">
        <v>1462740365703.7937</v>
      </c>
      <c r="K64" s="143">
        <v>1521505867840.479</v>
      </c>
      <c r="L64" s="143">
        <v>1582632116544.9077</v>
      </c>
      <c r="M64" s="143">
        <v>1646214681142.5186</v>
      </c>
      <c r="N64" s="143">
        <v>1712351098368.4878</v>
      </c>
      <c r="O64" s="143">
        <v>1781144718230.7764</v>
      </c>
      <c r="P64" s="143">
        <v>1852702077127.3472</v>
      </c>
      <c r="Q64" s="144">
        <v>1927133968157.1482</v>
      </c>
      <c r="S64" s="214">
        <v>605218047517</v>
      </c>
      <c r="T64" s="341">
        <f t="shared" si="1"/>
        <v>0.91315799123261898</v>
      </c>
    </row>
    <row r="65" spans="1:20" outlineLevel="1" x14ac:dyDescent="0.25">
      <c r="A65" s="107" t="s">
        <v>1018</v>
      </c>
      <c r="B65" s="139" t="s">
        <v>1074</v>
      </c>
      <c r="C65" s="139" t="s">
        <v>11</v>
      </c>
      <c r="D65" s="150">
        <v>0</v>
      </c>
      <c r="E65" s="143">
        <v>0</v>
      </c>
      <c r="F65" s="143">
        <v>221221496</v>
      </c>
      <c r="G65" s="143">
        <v>225590332.34906033</v>
      </c>
      <c r="H65" s="143">
        <v>234653440.42115477</v>
      </c>
      <c r="I65" s="143">
        <v>244080584.14813992</v>
      </c>
      <c r="J65" s="143">
        <v>253886499.56248561</v>
      </c>
      <c r="K65" s="143">
        <v>264086373.70442617</v>
      </c>
      <c r="L65" s="143">
        <v>274696000.45625669</v>
      </c>
      <c r="M65" s="143">
        <v>285731967.69787031</v>
      </c>
      <c r="N65" s="143">
        <v>297211204.79065841</v>
      </c>
      <c r="O65" s="143">
        <v>309151650.10042131</v>
      </c>
      <c r="P65" s="143">
        <v>321571795.05174059</v>
      </c>
      <c r="Q65" s="144">
        <v>334490869.90087157</v>
      </c>
      <c r="S65" s="214">
        <v>137027577</v>
      </c>
      <c r="T65" s="341">
        <f t="shared" si="1"/>
        <v>2.067483404867868E-4</v>
      </c>
    </row>
    <row r="66" spans="1:20" outlineLevel="1" x14ac:dyDescent="0.25">
      <c r="A66" s="107" t="s">
        <v>1019</v>
      </c>
      <c r="B66" s="139" t="s">
        <v>1075</v>
      </c>
      <c r="C66" s="139" t="s">
        <v>11</v>
      </c>
      <c r="D66" s="150">
        <v>3752703650</v>
      </c>
      <c r="E66" s="143">
        <v>3229138644</v>
      </c>
      <c r="F66" s="143">
        <v>3415028835</v>
      </c>
      <c r="G66" s="143">
        <v>3482471205.5526209</v>
      </c>
      <c r="H66" s="143">
        <v>3622379740.4850659</v>
      </c>
      <c r="I66" s="143">
        <v>3767907947.4697237</v>
      </c>
      <c r="J66" s="143">
        <v>3919283308.8114696</v>
      </c>
      <c r="K66" s="143">
        <v>4076740269.0885029</v>
      </c>
      <c r="L66" s="143">
        <v>4240522640.7893462</v>
      </c>
      <c r="M66" s="143">
        <v>4410886493.460454</v>
      </c>
      <c r="N66" s="143">
        <v>4588093168.1484909</v>
      </c>
      <c r="O66" s="143">
        <v>4772419582.049881</v>
      </c>
      <c r="P66" s="143">
        <v>4964151190.0109577</v>
      </c>
      <c r="Q66" s="144">
        <v>5163584852.3314838</v>
      </c>
      <c r="S66" s="214">
        <v>1308686003</v>
      </c>
      <c r="T66" s="341">
        <f t="shared" si="1"/>
        <v>1.9745562554794069E-3</v>
      </c>
    </row>
    <row r="67" spans="1:20" outlineLevel="1" x14ac:dyDescent="0.25">
      <c r="A67" s="107" t="s">
        <v>1021</v>
      </c>
      <c r="B67" s="139" t="s">
        <v>389</v>
      </c>
      <c r="C67" s="139" t="s">
        <v>11</v>
      </c>
      <c r="D67" s="150">
        <v>53482782</v>
      </c>
      <c r="E67" s="143">
        <v>105908555</v>
      </c>
      <c r="F67" s="143">
        <v>1974759539</v>
      </c>
      <c r="G67" s="143">
        <v>2013758467.2715855</v>
      </c>
      <c r="H67" s="143">
        <v>2094661360.7153418</v>
      </c>
      <c r="I67" s="143">
        <v>2178813860.9786434</v>
      </c>
      <c r="J67" s="143">
        <v>2266347510.9775853</v>
      </c>
      <c r="K67" s="143">
        <v>2357397879.6017833</v>
      </c>
      <c r="L67" s="143">
        <v>2452105952.7874327</v>
      </c>
      <c r="M67" s="143">
        <v>2550619804.1830859</v>
      </c>
      <c r="N67" s="143">
        <v>2653090555.7117977</v>
      </c>
      <c r="O67" s="143">
        <v>2759678336.292407</v>
      </c>
      <c r="P67" s="143">
        <v>2870548211.7876</v>
      </c>
      <c r="Q67" s="144">
        <v>2985871843.3273506</v>
      </c>
      <c r="S67" s="214">
        <v>1126924864</v>
      </c>
      <c r="T67" s="341">
        <f t="shared" si="1"/>
        <v>1.7003135469971706E-3</v>
      </c>
    </row>
    <row r="68" spans="1:20" outlineLevel="1" x14ac:dyDescent="0.25">
      <c r="A68" s="107" t="s">
        <v>1020</v>
      </c>
      <c r="B68" s="139" t="s">
        <v>1081</v>
      </c>
      <c r="C68" s="139" t="s">
        <v>11</v>
      </c>
      <c r="D68" s="150">
        <v>6537408745</v>
      </c>
      <c r="E68" s="143">
        <v>8870692780</v>
      </c>
      <c r="F68" s="143">
        <v>8587753423</v>
      </c>
      <c r="G68" s="143">
        <v>8757350365.3837986</v>
      </c>
      <c r="H68" s="143">
        <v>9109177555.6725216</v>
      </c>
      <c r="I68" s="143">
        <v>9475136503.0368843</v>
      </c>
      <c r="J68" s="143">
        <v>9855799255.9241352</v>
      </c>
      <c r="K68" s="143">
        <v>10251755370.770311</v>
      </c>
      <c r="L68" s="143">
        <v>10663617961.441813</v>
      </c>
      <c r="M68" s="143">
        <v>11092030964.558306</v>
      </c>
      <c r="N68" s="143">
        <v>11537651572.950808</v>
      </c>
      <c r="O68" s="143">
        <v>12001176148.704788</v>
      </c>
      <c r="P68" s="143">
        <v>12483322523.484968</v>
      </c>
      <c r="Q68" s="144">
        <v>12984837210.184391</v>
      </c>
      <c r="S68" s="214">
        <v>0</v>
      </c>
      <c r="T68" s="341">
        <f t="shared" si="1"/>
        <v>0</v>
      </c>
    </row>
    <row r="69" spans="1:20" outlineLevel="1" x14ac:dyDescent="0.25">
      <c r="A69" s="107" t="s">
        <v>1022</v>
      </c>
      <c r="B69" s="140" t="s">
        <v>1078</v>
      </c>
      <c r="C69" s="140" t="s">
        <v>11</v>
      </c>
      <c r="D69" s="151">
        <v>84902762579</v>
      </c>
      <c r="E69" s="146">
        <v>86844066682</v>
      </c>
      <c r="F69" s="146">
        <v>61736828794</v>
      </c>
      <c r="G69" s="146">
        <v>62956050734.850372</v>
      </c>
      <c r="H69" s="146">
        <v>65485314669.438416</v>
      </c>
      <c r="I69" s="146">
        <v>68116170932.562653</v>
      </c>
      <c r="J69" s="146">
        <v>70852731945.16835</v>
      </c>
      <c r="K69" s="146">
        <v>73699235992.050537</v>
      </c>
      <c r="L69" s="146">
        <v>76660090710.915665</v>
      </c>
      <c r="M69" s="146">
        <v>79739925322.339203</v>
      </c>
      <c r="N69" s="146">
        <v>82943464344.980988</v>
      </c>
      <c r="O69" s="146">
        <v>86275713882.851181</v>
      </c>
      <c r="P69" s="146">
        <v>89741834383.438782</v>
      </c>
      <c r="Q69" s="147">
        <v>93347192481.811249</v>
      </c>
      <c r="R69" s="227"/>
      <c r="S69" s="200">
        <v>25837233232</v>
      </c>
      <c r="T69" s="342">
        <f t="shared" si="1"/>
        <v>3.8983431002987512E-2</v>
      </c>
    </row>
    <row r="70" spans="1:20" outlineLevel="1" x14ac:dyDescent="0.25">
      <c r="B70" s="108"/>
      <c r="C70" s="108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</row>
    <row r="71" spans="1:20" s="16" customFormat="1" outlineLevel="1" x14ac:dyDescent="0.25">
      <c r="A71" s="261"/>
      <c r="B71" s="172" t="s">
        <v>1080</v>
      </c>
      <c r="C71" s="173" t="s">
        <v>11</v>
      </c>
      <c r="D71" s="177">
        <v>1258660361437</v>
      </c>
      <c r="E71" s="175">
        <v>1415181059075</v>
      </c>
      <c r="F71" s="175">
        <v>1799539968307</v>
      </c>
      <c r="G71" s="175">
        <v>1503030617912.1404</v>
      </c>
      <c r="H71" s="175">
        <v>1516762149326.1311</v>
      </c>
      <c r="I71" s="175">
        <v>1545725289910.6943</v>
      </c>
      <c r="J71" s="175">
        <v>1575502368598.7061</v>
      </c>
      <c r="K71" s="175">
        <v>1603403065986.6267</v>
      </c>
      <c r="L71" s="175">
        <v>1667819521194.9468</v>
      </c>
      <c r="M71" s="175">
        <v>1734824506961.9751</v>
      </c>
      <c r="N71" s="175">
        <v>1804520810075.1541</v>
      </c>
      <c r="O71" s="175">
        <v>1877017343502.3103</v>
      </c>
      <c r="P71" s="175">
        <v>1952426378113.2083</v>
      </c>
      <c r="Q71" s="176">
        <v>2030864670601.5276</v>
      </c>
      <c r="S71" s="290">
        <v>644963876477</v>
      </c>
    </row>
    <row r="72" spans="1:20" outlineLevel="1" x14ac:dyDescent="0.25">
      <c r="A72" s="107" t="s">
        <v>1040</v>
      </c>
      <c r="B72" s="139" t="s">
        <v>1080</v>
      </c>
      <c r="C72" s="139" t="s">
        <v>11</v>
      </c>
      <c r="D72" s="150">
        <v>1258660361437</v>
      </c>
      <c r="E72" s="143">
        <v>1345654277534</v>
      </c>
      <c r="F72" s="143">
        <v>1755958477800</v>
      </c>
      <c r="G72" s="143">
        <v>1465454852464.3369</v>
      </c>
      <c r="H72" s="143">
        <v>1478843095592.9778</v>
      </c>
      <c r="I72" s="143">
        <v>1507082157662.927</v>
      </c>
      <c r="J72" s="143">
        <v>1536114809383.7383</v>
      </c>
      <c r="K72" s="143">
        <v>1563317989336.9609</v>
      </c>
      <c r="L72" s="143">
        <v>1626124033165.073</v>
      </c>
      <c r="M72" s="143">
        <v>1691453894287.9258</v>
      </c>
      <c r="N72" s="143">
        <v>1759407789823.2751</v>
      </c>
      <c r="O72" s="143">
        <v>1830091909914.7524</v>
      </c>
      <c r="P72" s="143">
        <v>1903615718660.3779</v>
      </c>
      <c r="Q72" s="144">
        <v>1980093053836.4893</v>
      </c>
      <c r="S72" s="291">
        <v>613885701540</v>
      </c>
    </row>
    <row r="73" spans="1:20" outlineLevel="1" x14ac:dyDescent="0.25">
      <c r="A73" s="107" t="s">
        <v>1041</v>
      </c>
      <c r="B73" s="140" t="s">
        <v>1059</v>
      </c>
      <c r="C73" s="140" t="s">
        <v>11</v>
      </c>
      <c r="D73" s="151">
        <v>0</v>
      </c>
      <c r="E73" s="146">
        <v>69526781541</v>
      </c>
      <c r="F73" s="146">
        <v>43581490507</v>
      </c>
      <c r="G73" s="146">
        <v>37575765447.803543</v>
      </c>
      <c r="H73" s="146">
        <v>37919053733.153313</v>
      </c>
      <c r="I73" s="146">
        <v>38643132247.767395</v>
      </c>
      <c r="J73" s="146">
        <v>39387559214.96769</v>
      </c>
      <c r="K73" s="146">
        <v>40085076649.665703</v>
      </c>
      <c r="L73" s="146">
        <v>41695488029.873703</v>
      </c>
      <c r="M73" s="146">
        <v>43370612674.049416</v>
      </c>
      <c r="N73" s="146">
        <v>45113020251.878891</v>
      </c>
      <c r="O73" s="146">
        <v>46925433587.5578</v>
      </c>
      <c r="P73" s="146">
        <v>48810659452.830246</v>
      </c>
      <c r="Q73" s="147">
        <v>50771616765.038239</v>
      </c>
      <c r="S73" s="292">
        <v>31078174937</v>
      </c>
    </row>
    <row r="74" spans="1:20" outlineLevel="1" x14ac:dyDescent="0.25">
      <c r="A74" s="107"/>
      <c r="B74" s="108"/>
      <c r="C74" s="108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</row>
    <row r="75" spans="1:20" s="16" customFormat="1" outlineLevel="1" x14ac:dyDescent="0.25">
      <c r="A75" s="261"/>
      <c r="B75" s="172" t="s">
        <v>1109</v>
      </c>
      <c r="C75" s="173" t="s">
        <v>11</v>
      </c>
      <c r="D75" s="177">
        <v>-68234882483</v>
      </c>
      <c r="E75" s="175">
        <v>-65227594499</v>
      </c>
      <c r="F75" s="175">
        <v>-355124443459</v>
      </c>
      <c r="G75" s="175">
        <v>-30089768164.868408</v>
      </c>
      <c r="H75" s="175">
        <v>15354206596.672852</v>
      </c>
      <c r="I75" s="175">
        <v>47943460333.820801</v>
      </c>
      <c r="J75" s="175">
        <v>82191879691.564941</v>
      </c>
      <c r="K75" s="175">
        <v>120888944404.09863</v>
      </c>
      <c r="L75" s="175">
        <v>125745637919.02319</v>
      </c>
      <c r="M75" s="175">
        <v>130797494293.14307</v>
      </c>
      <c r="N75" s="175">
        <v>136052263160.03174</v>
      </c>
      <c r="O75" s="175">
        <v>141518156038.04761</v>
      </c>
      <c r="P75" s="175">
        <v>147203637615.34155</v>
      </c>
      <c r="Q75" s="176">
        <v>153117510789.79395</v>
      </c>
      <c r="S75" s="290">
        <v>17810860565</v>
      </c>
    </row>
    <row r="76" spans="1:20" s="6" customFormat="1" outlineLevel="1" x14ac:dyDescent="0.25">
      <c r="A76" s="262"/>
      <c r="B76" s="155" t="s">
        <v>1110</v>
      </c>
      <c r="C76" s="156" t="s">
        <v>1111</v>
      </c>
      <c r="D76" s="157">
        <v>-5.7319742973710924E-2</v>
      </c>
      <c r="E76" s="158">
        <v>-4.8318402234322204E-2</v>
      </c>
      <c r="F76" s="158">
        <v>-0.24586030636604433</v>
      </c>
      <c r="G76" s="158">
        <v>-2.0428361512297814E-2</v>
      </c>
      <c r="H76" s="158">
        <v>1.0021566924285533E-2</v>
      </c>
      <c r="I76" s="158">
        <v>3.0083704864304381E-2</v>
      </c>
      <c r="J76" s="158">
        <v>4.9582050354784551E-2</v>
      </c>
      <c r="K76" s="158">
        <v>7.0109322362808577E-2</v>
      </c>
      <c r="L76" s="158">
        <v>7.0109322362808479E-2</v>
      </c>
      <c r="M76" s="158">
        <v>7.0109322362808535E-2</v>
      </c>
      <c r="N76" s="158">
        <v>7.0109322362808563E-2</v>
      </c>
      <c r="O76" s="158">
        <v>7.0109322362808479E-2</v>
      </c>
      <c r="P76" s="158">
        <v>7.0109322362808493E-2</v>
      </c>
      <c r="Q76" s="159">
        <v>7.0109322362808535E-2</v>
      </c>
      <c r="S76" s="293">
        <v>2.6873173598153194E-2</v>
      </c>
    </row>
    <row r="77" spans="1:20" s="6" customFormat="1" outlineLevel="1" x14ac:dyDescent="0.25">
      <c r="A77" s="262"/>
      <c r="B77" s="155" t="s">
        <v>1499</v>
      </c>
      <c r="C77" s="156" t="s">
        <v>1111</v>
      </c>
      <c r="D77" s="157">
        <v>1.0573197429737109</v>
      </c>
      <c r="E77" s="158">
        <v>1.0483184022343222</v>
      </c>
      <c r="F77" s="158">
        <v>1.2458603063660443</v>
      </c>
      <c r="G77" s="158">
        <v>1.0204283615122978</v>
      </c>
      <c r="H77" s="158">
        <v>0.98997843307571443</v>
      </c>
      <c r="I77" s="158">
        <v>0.96991629513569566</v>
      </c>
      <c r="J77" s="158">
        <v>0.95041794964521542</v>
      </c>
      <c r="K77" s="158">
        <v>0.92989067763719147</v>
      </c>
      <c r="L77" s="158">
        <v>0.92989067763719158</v>
      </c>
      <c r="M77" s="158">
        <v>0.92989067763719147</v>
      </c>
      <c r="N77" s="158">
        <v>0.92989067763719147</v>
      </c>
      <c r="O77" s="158">
        <v>0.92989067763719147</v>
      </c>
      <c r="P77" s="158">
        <v>0.92989067763719147</v>
      </c>
      <c r="Q77" s="159">
        <v>0.92989067763719147</v>
      </c>
      <c r="S77" s="293">
        <v>0.97312682640184678</v>
      </c>
    </row>
    <row r="78" spans="1:20" s="6" customFormat="1" outlineLevel="1" x14ac:dyDescent="0.25">
      <c r="A78" s="262"/>
      <c r="B78" s="155" t="s">
        <v>1500</v>
      </c>
      <c r="C78" s="156" t="s">
        <v>1111</v>
      </c>
      <c r="D78" s="157">
        <v>1.1492735179795706</v>
      </c>
      <c r="E78" s="158">
        <v>1.0757457371073085</v>
      </c>
      <c r="F78" s="158">
        <v>1.2831452151857543</v>
      </c>
      <c r="G78" s="158">
        <v>1.0501246447071291</v>
      </c>
      <c r="H78" s="158">
        <v>1.01878856910704</v>
      </c>
      <c r="I78" s="158">
        <v>0.99814258721262772</v>
      </c>
      <c r="J78" s="158">
        <v>0.97807680513242157</v>
      </c>
      <c r="K78" s="158">
        <v>0.95695215293999714</v>
      </c>
      <c r="L78" s="158">
        <v>0.95695215293999736</v>
      </c>
      <c r="M78" s="158">
        <v>0.95695215293999725</v>
      </c>
      <c r="N78" s="158">
        <v>0.95695215293999736</v>
      </c>
      <c r="O78" s="158">
        <v>0.95695215293999714</v>
      </c>
      <c r="P78" s="158">
        <v>0.95695215293999714</v>
      </c>
      <c r="Q78" s="159">
        <v>0.95695215293999725</v>
      </c>
      <c r="S78" s="294">
        <v>0.96771705851933576</v>
      </c>
    </row>
    <row r="79" spans="1:20" outlineLevel="1" x14ac:dyDescent="0.25">
      <c r="A79" s="107"/>
      <c r="B79" s="108"/>
      <c r="C79" s="108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</row>
    <row r="80" spans="1:20" s="16" customFormat="1" outlineLevel="1" x14ac:dyDescent="0.25">
      <c r="B80" s="172" t="s">
        <v>1083</v>
      </c>
      <c r="C80" s="173" t="s">
        <v>11</v>
      </c>
      <c r="D80" s="177">
        <v>65530159990</v>
      </c>
      <c r="E80" s="175">
        <v>71672195100</v>
      </c>
      <c r="F80" s="175">
        <v>55702955352</v>
      </c>
      <c r="G80" s="175">
        <v>53449527930.584785</v>
      </c>
      <c r="H80" s="175">
        <v>56154456482.249786</v>
      </c>
      <c r="I80" s="175">
        <v>58238336798.972206</v>
      </c>
      <c r="J80" s="175">
        <v>60785388719.122887</v>
      </c>
      <c r="K80" s="175">
        <v>63440013679.676674</v>
      </c>
      <c r="L80" s="175">
        <v>66000261099.839455</v>
      </c>
      <c r="M80" s="175">
        <v>68700139569.0261</v>
      </c>
      <c r="N80" s="175">
        <v>71578335146.777206</v>
      </c>
      <c r="O80" s="175">
        <v>74578566407.634109</v>
      </c>
      <c r="P80" s="175">
        <v>77706062347.880417</v>
      </c>
      <c r="Q80" s="176">
        <v>80966278045.431122</v>
      </c>
    </row>
    <row r="81" spans="1:17" outlineLevel="1" x14ac:dyDescent="0.25">
      <c r="A81" s="107" t="s">
        <v>1025</v>
      </c>
      <c r="B81" s="139" t="s">
        <v>1084</v>
      </c>
      <c r="C81" s="139" t="s">
        <v>11</v>
      </c>
      <c r="D81" s="150">
        <v>45736365551</v>
      </c>
      <c r="E81" s="143">
        <v>29123076065</v>
      </c>
      <c r="F81" s="143">
        <v>35904439728</v>
      </c>
      <c r="G81" s="143">
        <v>36100000000</v>
      </c>
      <c r="H81" s="143">
        <v>37724500000</v>
      </c>
      <c r="I81" s="143">
        <v>39422102500</v>
      </c>
      <c r="J81" s="143">
        <v>41196097112.5</v>
      </c>
      <c r="K81" s="143">
        <v>43049921482.5625</v>
      </c>
      <c r="L81" s="143">
        <v>44987167949.277809</v>
      </c>
      <c r="M81" s="143">
        <v>47011590506.995308</v>
      </c>
      <c r="N81" s="143">
        <v>49127112079.810097</v>
      </c>
      <c r="O81" s="143">
        <v>51337832123.40155</v>
      </c>
      <c r="P81" s="143">
        <v>53648034568.954613</v>
      </c>
      <c r="Q81" s="144">
        <v>56062196124.557564</v>
      </c>
    </row>
    <row r="82" spans="1:17" outlineLevel="1" x14ac:dyDescent="0.25">
      <c r="A82" s="107" t="s">
        <v>1029</v>
      </c>
      <c r="B82" s="139" t="s">
        <v>1085</v>
      </c>
      <c r="C82" s="139" t="s">
        <v>11</v>
      </c>
      <c r="D82" s="150">
        <v>1533788346</v>
      </c>
      <c r="E82" s="143">
        <v>6055376476</v>
      </c>
      <c r="F82" s="143">
        <v>5502047988</v>
      </c>
      <c r="G82" s="143">
        <v>5694619667.5799999</v>
      </c>
      <c r="H82" s="143">
        <v>5893931355.9452991</v>
      </c>
      <c r="I82" s="143">
        <v>6100218953.4033842</v>
      </c>
      <c r="J82" s="143">
        <v>6313726616.7725019</v>
      </c>
      <c r="K82" s="143">
        <v>6534707048.359539</v>
      </c>
      <c r="L82" s="143">
        <v>6763421795.0521221</v>
      </c>
      <c r="M82" s="143">
        <v>7000141557.8789463</v>
      </c>
      <c r="N82" s="143">
        <v>7245146512.4047089</v>
      </c>
      <c r="O82" s="143">
        <v>7498726640.3388729</v>
      </c>
      <c r="P82" s="143">
        <v>7761182072.7507324</v>
      </c>
      <c r="Q82" s="144">
        <v>8032823445.2970076</v>
      </c>
    </row>
    <row r="83" spans="1:17" outlineLevel="1" x14ac:dyDescent="0.25">
      <c r="A83" s="107" t="s">
        <v>1026</v>
      </c>
      <c r="B83" s="139" t="s">
        <v>232</v>
      </c>
      <c r="C83" s="139" t="s">
        <v>11</v>
      </c>
      <c r="D83" s="150">
        <v>5035383009</v>
      </c>
      <c r="E83" s="143">
        <v>17389895401</v>
      </c>
      <c r="F83" s="143">
        <v>5930368525</v>
      </c>
      <c r="G83" s="143">
        <v>6137931423.375</v>
      </c>
      <c r="H83" s="143">
        <v>6352759023.1931248</v>
      </c>
      <c r="I83" s="143">
        <v>6575105589.0048838</v>
      </c>
      <c r="J83" s="143">
        <v>6805234284.6200542</v>
      </c>
      <c r="K83" s="143">
        <v>7043417484.5817556</v>
      </c>
      <c r="L83" s="143">
        <v>7289937096.5421162</v>
      </c>
      <c r="M83" s="143">
        <v>7545084894.9210892</v>
      </c>
      <c r="N83" s="143">
        <v>7809162866.2433271</v>
      </c>
      <c r="O83" s="143">
        <v>8082483566.5618429</v>
      </c>
      <c r="P83" s="143">
        <v>8365370491.3915071</v>
      </c>
      <c r="Q83" s="144">
        <v>8658158458.59021</v>
      </c>
    </row>
    <row r="84" spans="1:17" outlineLevel="1" x14ac:dyDescent="0.25">
      <c r="A84" s="107" t="s">
        <v>1033</v>
      </c>
      <c r="B84" s="139" t="s">
        <v>207</v>
      </c>
      <c r="C84" s="139" t="s">
        <v>11</v>
      </c>
      <c r="D84" s="150">
        <v>856613609</v>
      </c>
      <c r="E84" s="143">
        <v>2367548655</v>
      </c>
      <c r="F84" s="143">
        <v>2797673542</v>
      </c>
      <c r="G84" s="143">
        <v>2895592115.9699998</v>
      </c>
      <c r="H84" s="143">
        <v>2996937840.0289497</v>
      </c>
      <c r="I84" s="143">
        <v>3101830664.4299626</v>
      </c>
      <c r="J84" s="143">
        <v>3210394737.6850109</v>
      </c>
      <c r="K84" s="143">
        <v>3322758553.5039859</v>
      </c>
      <c r="L84" s="143">
        <v>3439055102.8766251</v>
      </c>
      <c r="M84" s="143">
        <v>3559422031.4773068</v>
      </c>
      <c r="N84" s="143">
        <v>3684001802.5790124</v>
      </c>
      <c r="O84" s="143">
        <v>3812941865.6692777</v>
      </c>
      <c r="P84" s="143">
        <v>3946394830.9677019</v>
      </c>
      <c r="Q84" s="144">
        <v>4084518650.0515714</v>
      </c>
    </row>
    <row r="85" spans="1:17" outlineLevel="1" x14ac:dyDescent="0.25">
      <c r="A85" s="107" t="s">
        <v>1027</v>
      </c>
      <c r="B85" s="139" t="s">
        <v>505</v>
      </c>
      <c r="C85" s="139" t="s">
        <v>11</v>
      </c>
      <c r="D85" s="150">
        <v>98336380</v>
      </c>
      <c r="E85" s="143">
        <v>1155775064</v>
      </c>
      <c r="F85" s="143">
        <v>338442284</v>
      </c>
      <c r="G85" s="143">
        <v>350287763.94</v>
      </c>
      <c r="H85" s="143">
        <v>362547835.67789996</v>
      </c>
      <c r="I85" s="143">
        <v>375237009.92662644</v>
      </c>
      <c r="J85" s="143">
        <v>388370305.27405834</v>
      </c>
      <c r="K85" s="143">
        <v>401963265.95865035</v>
      </c>
      <c r="L85" s="143">
        <v>416031980.26720309</v>
      </c>
      <c r="M85" s="143">
        <v>430593099.57655519</v>
      </c>
      <c r="N85" s="143">
        <v>445663858.06173462</v>
      </c>
      <c r="O85" s="143">
        <v>461262093.09389532</v>
      </c>
      <c r="P85" s="143">
        <v>477406266.35218161</v>
      </c>
      <c r="Q85" s="144">
        <v>494115485.67450792</v>
      </c>
    </row>
    <row r="86" spans="1:17" outlineLevel="1" x14ac:dyDescent="0.25">
      <c r="A86" s="107" t="s">
        <v>1031</v>
      </c>
      <c r="B86" s="139" t="s">
        <v>1086</v>
      </c>
      <c r="C86" s="139" t="s">
        <v>11</v>
      </c>
      <c r="D86" s="150">
        <v>300089869</v>
      </c>
      <c r="E86" s="143">
        <v>645947837</v>
      </c>
      <c r="F86" s="143">
        <v>654851891</v>
      </c>
      <c r="G86" s="143">
        <v>677771707.18499994</v>
      </c>
      <c r="H86" s="143">
        <v>701493716.93647492</v>
      </c>
      <c r="I86" s="143">
        <v>726045997.02925146</v>
      </c>
      <c r="J86" s="143">
        <v>751457606.92527521</v>
      </c>
      <c r="K86" s="143">
        <v>777758623.16765976</v>
      </c>
      <c r="L86" s="143">
        <v>804980174.97852778</v>
      </c>
      <c r="M86" s="143">
        <v>833154481.10277617</v>
      </c>
      <c r="N86" s="143">
        <v>862314887.94137323</v>
      </c>
      <c r="O86" s="143">
        <v>892495909.0193212</v>
      </c>
      <c r="P86" s="143">
        <v>923733265.83499742</v>
      </c>
      <c r="Q86" s="144">
        <v>956063930.13922226</v>
      </c>
    </row>
    <row r="87" spans="1:17" outlineLevel="1" x14ac:dyDescent="0.25">
      <c r="A87" s="107" t="s">
        <v>1035</v>
      </c>
      <c r="B87" s="139" t="s">
        <v>1087</v>
      </c>
      <c r="C87" s="139" t="s">
        <v>11</v>
      </c>
      <c r="D87" s="150">
        <v>383037235</v>
      </c>
      <c r="E87" s="143">
        <v>260890987</v>
      </c>
      <c r="F87" s="143">
        <v>168163867</v>
      </c>
      <c r="G87" s="143">
        <v>174049602.345</v>
      </c>
      <c r="H87" s="143">
        <v>180141338.427075</v>
      </c>
      <c r="I87" s="143">
        <v>186446285.2720226</v>
      </c>
      <c r="J87" s="143">
        <v>192971905.25654337</v>
      </c>
      <c r="K87" s="143">
        <v>199725921.94052237</v>
      </c>
      <c r="L87" s="143">
        <v>206716329.20844063</v>
      </c>
      <c r="M87" s="143">
        <v>213951400.73073605</v>
      </c>
      <c r="N87" s="143">
        <v>221439699.7563118</v>
      </c>
      <c r="O87" s="143">
        <v>229190089.24778271</v>
      </c>
      <c r="P87" s="143">
        <v>237211742.37145507</v>
      </c>
      <c r="Q87" s="144">
        <v>245514153.35445598</v>
      </c>
    </row>
    <row r="88" spans="1:17" outlineLevel="1" x14ac:dyDescent="0.25">
      <c r="A88" s="107" t="s">
        <v>1030</v>
      </c>
      <c r="B88" s="139" t="s">
        <v>1088</v>
      </c>
      <c r="C88" s="139" t="s">
        <v>11</v>
      </c>
      <c r="D88" s="150">
        <v>928146955</v>
      </c>
      <c r="E88" s="143">
        <v>88824766</v>
      </c>
      <c r="F88" s="143">
        <v>354194514</v>
      </c>
      <c r="G88" s="143">
        <v>366591321.98999995</v>
      </c>
      <c r="H88" s="143">
        <v>379422018.25964993</v>
      </c>
      <c r="I88" s="143">
        <v>392701788.89873767</v>
      </c>
      <c r="J88" s="143">
        <v>406446351.51019347</v>
      </c>
      <c r="K88" s="143">
        <v>420671973.81305021</v>
      </c>
      <c r="L88" s="143">
        <v>435395492.89650691</v>
      </c>
      <c r="M88" s="143">
        <v>450634335.14788461</v>
      </c>
      <c r="N88" s="143">
        <v>466406536.87806052</v>
      </c>
      <c r="O88" s="143">
        <v>482730765.66879261</v>
      </c>
      <c r="P88" s="143">
        <v>499626342.46720028</v>
      </c>
      <c r="Q88" s="144">
        <v>517113264.45355225</v>
      </c>
    </row>
    <row r="89" spans="1:17" outlineLevel="1" x14ac:dyDescent="0.25">
      <c r="A89" s="107" t="s">
        <v>1032</v>
      </c>
      <c r="B89" s="139" t="s">
        <v>154</v>
      </c>
      <c r="C89" s="139" t="s">
        <v>11</v>
      </c>
      <c r="D89" s="150">
        <v>49118822</v>
      </c>
      <c r="E89" s="143">
        <v>32658742</v>
      </c>
      <c r="F89" s="143">
        <v>215077</v>
      </c>
      <c r="G89" s="143">
        <v>50000000</v>
      </c>
      <c r="H89" s="143">
        <v>51749999.999999993</v>
      </c>
      <c r="I89" s="143">
        <v>53561249.999999985</v>
      </c>
      <c r="J89" s="143">
        <v>55435893.749999978</v>
      </c>
      <c r="K89" s="143">
        <v>57376150.03124997</v>
      </c>
      <c r="L89" s="143">
        <v>59384315.282343715</v>
      </c>
      <c r="M89" s="143">
        <v>61462766.317225739</v>
      </c>
      <c r="N89" s="143">
        <v>63613963.138328634</v>
      </c>
      <c r="O89" s="143">
        <v>65840451.848170131</v>
      </c>
      <c r="P89" s="143">
        <v>68144867.662856087</v>
      </c>
      <c r="Q89" s="144">
        <v>70529938.031056046</v>
      </c>
    </row>
    <row r="90" spans="1:17" outlineLevel="1" x14ac:dyDescent="0.25">
      <c r="A90" s="107" t="s">
        <v>1028</v>
      </c>
      <c r="B90" s="139" t="s">
        <v>1089</v>
      </c>
      <c r="C90" s="139" t="s">
        <v>11</v>
      </c>
      <c r="D90" s="150">
        <v>192053854</v>
      </c>
      <c r="E90" s="143">
        <v>657682178</v>
      </c>
      <c r="F90" s="143">
        <v>700193460</v>
      </c>
      <c r="G90" s="143">
        <v>724700231.0999999</v>
      </c>
      <c r="H90" s="143">
        <v>750064739.18849981</v>
      </c>
      <c r="I90" s="143">
        <v>776317005.06009722</v>
      </c>
      <c r="J90" s="143">
        <v>803488100.2372005</v>
      </c>
      <c r="K90" s="143">
        <v>831610183.74550247</v>
      </c>
      <c r="L90" s="143">
        <v>860716540.17659497</v>
      </c>
      <c r="M90" s="143">
        <v>890841619.08277571</v>
      </c>
      <c r="N90" s="143">
        <v>922021075.75067282</v>
      </c>
      <c r="O90" s="143">
        <v>954291813.40194631</v>
      </c>
      <c r="P90" s="143">
        <v>987692026.87101436</v>
      </c>
      <c r="Q90" s="144">
        <v>1022261247.8114998</v>
      </c>
    </row>
    <row r="91" spans="1:17" outlineLevel="1" x14ac:dyDescent="0.25">
      <c r="A91" s="107" t="s">
        <v>1036</v>
      </c>
      <c r="B91" s="139" t="s">
        <v>540</v>
      </c>
      <c r="C91" s="139" t="s">
        <v>11</v>
      </c>
      <c r="D91" s="150">
        <v>0</v>
      </c>
      <c r="E91" s="143">
        <v>167531000</v>
      </c>
      <c r="F91" s="143">
        <v>0</v>
      </c>
      <c r="G91" s="143">
        <v>0</v>
      </c>
      <c r="H91" s="143">
        <v>0</v>
      </c>
      <c r="I91" s="143">
        <v>0</v>
      </c>
      <c r="J91" s="143">
        <v>0</v>
      </c>
      <c r="K91" s="143">
        <v>0</v>
      </c>
      <c r="L91" s="143">
        <v>0</v>
      </c>
      <c r="M91" s="143">
        <v>0</v>
      </c>
      <c r="N91" s="143">
        <v>0</v>
      </c>
      <c r="O91" s="143">
        <v>0</v>
      </c>
      <c r="P91" s="143">
        <v>0</v>
      </c>
      <c r="Q91" s="144">
        <v>0</v>
      </c>
    </row>
    <row r="92" spans="1:17" outlineLevel="1" x14ac:dyDescent="0.25">
      <c r="A92" s="107" t="s">
        <v>1034</v>
      </c>
      <c r="B92" s="139" t="s">
        <v>1090</v>
      </c>
      <c r="C92" s="139" t="s">
        <v>11</v>
      </c>
      <c r="D92" s="150">
        <v>3909178</v>
      </c>
      <c r="E92" s="143">
        <v>73951894</v>
      </c>
      <c r="F92" s="143">
        <v>9805632</v>
      </c>
      <c r="G92" s="143">
        <v>10148829.119999999</v>
      </c>
      <c r="H92" s="143">
        <v>10504038.139199998</v>
      </c>
      <c r="I92" s="143">
        <v>10871679.474071998</v>
      </c>
      <c r="J92" s="143">
        <v>11252188.255664518</v>
      </c>
      <c r="K92" s="143">
        <v>11646014.844612775</v>
      </c>
      <c r="L92" s="143">
        <v>12053625.364174221</v>
      </c>
      <c r="M92" s="143">
        <v>12475502.251920318</v>
      </c>
      <c r="N92" s="143">
        <v>12912144.830737527</v>
      </c>
      <c r="O92" s="143">
        <v>13364069.899813339</v>
      </c>
      <c r="P92" s="143">
        <v>13831812.346306805</v>
      </c>
      <c r="Q92" s="144">
        <v>14315925.778427541</v>
      </c>
    </row>
    <row r="93" spans="1:17" outlineLevel="1" x14ac:dyDescent="0.25">
      <c r="A93" s="107"/>
      <c r="B93" s="139" t="s">
        <v>1398</v>
      </c>
      <c r="C93" s="139" t="s">
        <v>11</v>
      </c>
      <c r="D93" s="150"/>
      <c r="E93" s="143"/>
      <c r="F93" s="143"/>
      <c r="G93" s="143"/>
      <c r="H93" s="256">
        <v>360000000</v>
      </c>
      <c r="I93" s="143"/>
      <c r="J93" s="143"/>
      <c r="K93" s="143"/>
      <c r="L93" s="143"/>
      <c r="M93" s="143"/>
      <c r="N93" s="143"/>
      <c r="O93" s="143"/>
      <c r="P93" s="143"/>
      <c r="Q93" s="144"/>
    </row>
    <row r="94" spans="1:17" outlineLevel="1" x14ac:dyDescent="0.25">
      <c r="A94" s="107" t="s">
        <v>1037</v>
      </c>
      <c r="B94" s="139" t="s">
        <v>1092</v>
      </c>
      <c r="C94" s="139" t="s">
        <v>11</v>
      </c>
      <c r="D94" s="150">
        <v>66661429</v>
      </c>
      <c r="E94" s="143">
        <v>47286786</v>
      </c>
      <c r="F94" s="143">
        <v>109068276</v>
      </c>
      <c r="G94" s="143">
        <v>267835267.97978178</v>
      </c>
      <c r="H94" s="143">
        <v>390404576.45360613</v>
      </c>
      <c r="I94" s="143">
        <v>517898076.47316736</v>
      </c>
      <c r="J94" s="143">
        <v>650513616.33638906</v>
      </c>
      <c r="K94" s="143">
        <v>788456977.16764712</v>
      </c>
      <c r="L94" s="143">
        <v>725400697.91698289</v>
      </c>
      <c r="M94" s="143">
        <v>690787373.5435679</v>
      </c>
      <c r="N94" s="143">
        <v>718539719.38282168</v>
      </c>
      <c r="O94" s="143">
        <v>747407019.48282862</v>
      </c>
      <c r="P94" s="143">
        <v>777434059.90985453</v>
      </c>
      <c r="Q94" s="144">
        <v>808667421.69204283</v>
      </c>
    </row>
    <row r="95" spans="1:17" outlineLevel="1" x14ac:dyDescent="0.25">
      <c r="A95" s="107" t="s">
        <v>1038</v>
      </c>
      <c r="B95" s="139" t="s">
        <v>1091</v>
      </c>
      <c r="C95" s="139" t="s">
        <v>11</v>
      </c>
      <c r="D95" s="150">
        <v>242857325</v>
      </c>
      <c r="E95" s="143">
        <v>243145867</v>
      </c>
      <c r="F95" s="143">
        <v>0</v>
      </c>
      <c r="G95" s="143">
        <v>0</v>
      </c>
      <c r="H95" s="143">
        <v>0</v>
      </c>
      <c r="I95" s="143">
        <v>0</v>
      </c>
      <c r="J95" s="143">
        <v>0</v>
      </c>
      <c r="K95" s="143">
        <v>0</v>
      </c>
      <c r="L95" s="143">
        <v>0</v>
      </c>
      <c r="M95" s="143">
        <v>0</v>
      </c>
      <c r="N95" s="143">
        <v>0</v>
      </c>
      <c r="O95" s="143">
        <v>0</v>
      </c>
      <c r="P95" s="143">
        <v>0</v>
      </c>
      <c r="Q95" s="144">
        <v>0</v>
      </c>
    </row>
    <row r="96" spans="1:17" outlineLevel="1" x14ac:dyDescent="0.25">
      <c r="A96" s="107" t="s">
        <v>1039</v>
      </c>
      <c r="B96" s="140" t="s">
        <v>1093</v>
      </c>
      <c r="C96" s="140" t="s">
        <v>11</v>
      </c>
      <c r="D96" s="151">
        <v>10103798428</v>
      </c>
      <c r="E96" s="146">
        <v>13362603382</v>
      </c>
      <c r="F96" s="146">
        <v>3233490568</v>
      </c>
      <c r="G96" s="146">
        <v>0</v>
      </c>
      <c r="H96" s="146">
        <v>0</v>
      </c>
      <c r="I96" s="146">
        <v>0</v>
      </c>
      <c r="J96" s="146">
        <v>0</v>
      </c>
      <c r="K96" s="146"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47">
        <v>0</v>
      </c>
    </row>
    <row r="97" spans="1:17" outlineLevel="1" x14ac:dyDescent="0.25">
      <c r="B97" s="108"/>
      <c r="C97" s="108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</row>
    <row r="98" spans="1:17" s="16" customFormat="1" outlineLevel="1" x14ac:dyDescent="0.25">
      <c r="A98" s="261"/>
      <c r="B98" s="172" t="s">
        <v>1170</v>
      </c>
      <c r="C98" s="173" t="s">
        <v>11</v>
      </c>
      <c r="D98" s="177">
        <v>-123351725291</v>
      </c>
      <c r="E98" s="175">
        <v>-123246753564</v>
      </c>
      <c r="F98" s="175">
        <v>-407484839967</v>
      </c>
      <c r="G98" s="175">
        <v>-83271460827.473404</v>
      </c>
      <c r="H98" s="175">
        <v>-40409845309.123329</v>
      </c>
      <c r="I98" s="175">
        <v>-9776978388.6782379</v>
      </c>
      <c r="J98" s="175">
        <v>22057004588.778442</v>
      </c>
      <c r="K98" s="175">
        <v>58237387701.589607</v>
      </c>
      <c r="L98" s="175">
        <v>60470777517.100723</v>
      </c>
      <c r="M98" s="175">
        <v>62788142097.660538</v>
      </c>
      <c r="N98" s="175">
        <v>65192467732.637352</v>
      </c>
      <c r="O98" s="175">
        <v>67686996649.896324</v>
      </c>
      <c r="P98" s="175">
        <v>70275009327.370987</v>
      </c>
      <c r="Q98" s="176">
        <v>72959900166.054871</v>
      </c>
    </row>
    <row r="99" spans="1:17" s="6" customFormat="1" outlineLevel="1" x14ac:dyDescent="0.25">
      <c r="A99" s="262"/>
      <c r="B99" s="155" t="s">
        <v>1171</v>
      </c>
      <c r="C99" s="156" t="s">
        <v>1111</v>
      </c>
      <c r="D99" s="157">
        <v>-0.10361986321007374</v>
      </c>
      <c r="E99" s="158">
        <v>-9.1297038600297198E-2</v>
      </c>
      <c r="F99" s="158">
        <v>-0.282110537416081</v>
      </c>
      <c r="G99" s="158">
        <v>-5.6534151280929694E-2</v>
      </c>
      <c r="H99" s="158">
        <v>-2.6375180418189721E-2</v>
      </c>
      <c r="I99" s="158">
        <v>-6.134887433275055E-3</v>
      </c>
      <c r="J99" s="158">
        <v>1.3305834059283135E-2</v>
      </c>
      <c r="K99" s="158">
        <v>3.3774666559171142E-2</v>
      </c>
      <c r="L99" s="158">
        <v>3.3715405994490653E-2</v>
      </c>
      <c r="M99" s="158">
        <v>3.3655339642981862E-2</v>
      </c>
      <c r="N99" s="158">
        <v>3.3594441060626021E-2</v>
      </c>
      <c r="O99" s="158">
        <v>3.3532725416674306E-2</v>
      </c>
      <c r="P99" s="158">
        <v>3.3470187033398019E-2</v>
      </c>
      <c r="Q99" s="159">
        <v>3.3406820251424968E-2</v>
      </c>
    </row>
    <row r="100" spans="1:17" outlineLevel="1" x14ac:dyDescent="0.25">
      <c r="B100" s="108"/>
      <c r="C100" s="108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</row>
    <row r="101" spans="1:17" s="16" customFormat="1" outlineLevel="1" x14ac:dyDescent="0.25">
      <c r="A101" s="261"/>
      <c r="B101" s="172" t="s">
        <v>1112</v>
      </c>
      <c r="C101" s="173" t="s">
        <v>11</v>
      </c>
      <c r="D101" s="177">
        <v>-133765042473</v>
      </c>
      <c r="E101" s="175">
        <v>-136899789599</v>
      </c>
      <c r="F101" s="175">
        <v>-410827398811</v>
      </c>
      <c r="G101" s="175">
        <v>-83539296095.453186</v>
      </c>
      <c r="H101" s="175">
        <v>-40800249885.576935</v>
      </c>
      <c r="I101" s="175">
        <v>-10294876465.151405</v>
      </c>
      <c r="J101" s="175">
        <v>21406490972.442055</v>
      </c>
      <c r="K101" s="175">
        <v>57448930724.421959</v>
      </c>
      <c r="L101" s="175">
        <v>59745376819.183739</v>
      </c>
      <c r="M101" s="175">
        <v>62097354724.116966</v>
      </c>
      <c r="N101" s="175">
        <v>64473928013.254532</v>
      </c>
      <c r="O101" s="175">
        <v>66939589630.413498</v>
      </c>
      <c r="P101" s="175">
        <v>69497575267.461136</v>
      </c>
      <c r="Q101" s="176">
        <v>72151232744.362823</v>
      </c>
    </row>
    <row r="102" spans="1:17" s="6" customFormat="1" outlineLevel="1" x14ac:dyDescent="0.25">
      <c r="A102" s="262"/>
      <c r="B102" s="155" t="s">
        <v>1319</v>
      </c>
      <c r="C102" s="156" t="s">
        <v>1111</v>
      </c>
      <c r="D102" s="157">
        <v>-0.11236742226866341</v>
      </c>
      <c r="E102" s="158">
        <v>-0.10141074725268263</v>
      </c>
      <c r="F102" s="158">
        <v>-0.28442466294748014</v>
      </c>
      <c r="G102" s="158">
        <v>-5.6715988364221759E-2</v>
      </c>
      <c r="H102" s="158">
        <v>-2.6629994339432968E-2</v>
      </c>
      <c r="I102" s="158">
        <v>-6.4598596562628662E-3</v>
      </c>
      <c r="J102" s="158">
        <v>1.2913413311604654E-2</v>
      </c>
      <c r="K102" s="158">
        <v>3.3317402376297045E-2</v>
      </c>
      <c r="L102" s="158">
        <v>3.3310959747176537E-2</v>
      </c>
      <c r="M102" s="158">
        <v>3.3285067758817316E-2</v>
      </c>
      <c r="N102" s="158">
        <v>3.3224169139772802E-2</v>
      </c>
      <c r="O102" s="158">
        <v>3.3162453494454944E-2</v>
      </c>
      <c r="P102" s="158">
        <v>3.30999151025883E-2</v>
      </c>
      <c r="Q102" s="159">
        <v>3.3036548264509358E-2</v>
      </c>
    </row>
    <row r="103" spans="1:17" outlineLevel="1" x14ac:dyDescent="0.25">
      <c r="B103" s="108"/>
      <c r="C103" s="108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</row>
    <row r="104" spans="1:17" s="16" customFormat="1" outlineLevel="1" x14ac:dyDescent="0.25">
      <c r="A104" s="261"/>
      <c r="B104" s="172" t="s">
        <v>424</v>
      </c>
      <c r="C104" s="173" t="s">
        <v>11</v>
      </c>
      <c r="D104" s="177">
        <v>36232032769</v>
      </c>
      <c r="E104" s="175">
        <v>47113459692</v>
      </c>
      <c r="F104" s="175">
        <v>21241116141</v>
      </c>
      <c r="G104" s="175">
        <v>22830583171.082718</v>
      </c>
      <c r="H104" s="175">
        <v>25133356249.948463</v>
      </c>
      <c r="I104" s="175">
        <v>30874441123.167164</v>
      </c>
      <c r="J104" s="175">
        <v>36703921979.055405</v>
      </c>
      <c r="K104" s="175">
        <v>37891844949.940506</v>
      </c>
      <c r="L104" s="175">
        <v>39179735804.582062</v>
      </c>
      <c r="M104" s="175">
        <v>40506900416.380028</v>
      </c>
      <c r="N104" s="175">
        <v>42005214984.244873</v>
      </c>
      <c r="O104" s="175">
        <v>43692773262.197662</v>
      </c>
      <c r="P104" s="175">
        <v>45448128378.823723</v>
      </c>
      <c r="Q104" s="176">
        <v>47273998329.816658</v>
      </c>
    </row>
    <row r="105" spans="1:17" outlineLevel="1" x14ac:dyDescent="0.25">
      <c r="A105" s="107" t="s">
        <v>1023</v>
      </c>
      <c r="B105" s="139" t="s">
        <v>394</v>
      </c>
      <c r="C105" s="139" t="s">
        <v>11</v>
      </c>
      <c r="D105" s="150">
        <v>3518851459</v>
      </c>
      <c r="E105" s="143">
        <v>1697101859</v>
      </c>
      <c r="F105" s="143">
        <v>4177150446</v>
      </c>
      <c r="G105" s="143">
        <v>4418822549.2418156</v>
      </c>
      <c r="H105" s="143">
        <v>5981901800.9134121</v>
      </c>
      <c r="I105" s="143">
        <v>10953581745.110725</v>
      </c>
      <c r="J105" s="143">
        <v>15982743875.427013</v>
      </c>
      <c r="K105" s="143">
        <v>16338194820.056437</v>
      </c>
      <c r="L105" s="143">
        <v>16760171315.657436</v>
      </c>
      <c r="M105" s="143">
        <v>17186625400.691048</v>
      </c>
      <c r="N105" s="143">
        <v>17748051568.805046</v>
      </c>
      <c r="O105" s="143">
        <v>18461079517.943188</v>
      </c>
      <c r="P105" s="143">
        <v>19202753182.21685</v>
      </c>
      <c r="Q105" s="144">
        <v>19974221062.425137</v>
      </c>
    </row>
    <row r="106" spans="1:17" outlineLevel="1" x14ac:dyDescent="0.25">
      <c r="A106" s="107" t="s">
        <v>1024</v>
      </c>
      <c r="B106" s="140" t="s">
        <v>412</v>
      </c>
      <c r="C106" s="140" t="s">
        <v>11</v>
      </c>
      <c r="D106" s="151">
        <v>32713181310</v>
      </c>
      <c r="E106" s="146">
        <v>45416357833</v>
      </c>
      <c r="F106" s="146">
        <v>17063965695</v>
      </c>
      <c r="G106" s="146">
        <v>18411760621.8409</v>
      </c>
      <c r="H106" s="146">
        <v>19151454449.035049</v>
      </c>
      <c r="I106" s="146">
        <v>19920859378.056438</v>
      </c>
      <c r="J106" s="146">
        <v>20721178103.628387</v>
      </c>
      <c r="K106" s="146">
        <v>21553650129.884068</v>
      </c>
      <c r="L106" s="146">
        <v>22419564488.924625</v>
      </c>
      <c r="M106" s="146">
        <v>23320275015.68898</v>
      </c>
      <c r="N106" s="146">
        <v>24257163415.439823</v>
      </c>
      <c r="O106" s="146">
        <v>25231693744.254475</v>
      </c>
      <c r="P106" s="146">
        <v>26245375196.606873</v>
      </c>
      <c r="Q106" s="147">
        <v>27299777267.391521</v>
      </c>
    </row>
    <row r="107" spans="1:17" outlineLevel="1" x14ac:dyDescent="0.25">
      <c r="A107" s="107"/>
      <c r="B107" s="108"/>
      <c r="C107" s="108"/>
      <c r="D107" s="9">
        <v>23927889971</v>
      </c>
      <c r="E107" s="9">
        <v>23043812996</v>
      </c>
      <c r="F107" s="9">
        <v>17063965695</v>
      </c>
      <c r="G107" s="9">
        <v>18411760621.8409</v>
      </c>
      <c r="H107" s="9"/>
      <c r="I107" s="9"/>
      <c r="J107" s="9"/>
      <c r="K107" s="9"/>
      <c r="L107" s="9"/>
      <c r="M107" s="9"/>
      <c r="N107" s="9"/>
      <c r="O107" s="9"/>
      <c r="P107" s="9"/>
      <c r="Q107" s="9"/>
    </row>
    <row r="108" spans="1:17" s="16" customFormat="1" outlineLevel="1" x14ac:dyDescent="0.25">
      <c r="B108" s="172" t="s">
        <v>608</v>
      </c>
      <c r="C108" s="173" t="s">
        <v>11</v>
      </c>
      <c r="D108" s="177">
        <v>11797174922</v>
      </c>
      <c r="E108" s="175">
        <v>29586405422</v>
      </c>
      <c r="F108" s="175">
        <v>5413823466</v>
      </c>
      <c r="G108" s="175">
        <v>4855000000</v>
      </c>
      <c r="H108" s="175">
        <v>4381125000</v>
      </c>
      <c r="I108" s="175">
        <v>3907464375</v>
      </c>
      <c r="J108" s="175">
        <v>3434025628.125</v>
      </c>
      <c r="K108" s="175">
        <v>2960816525.109375</v>
      </c>
      <c r="L108" s="175">
        <v>2487845103.488203</v>
      </c>
      <c r="M108" s="175">
        <v>2015119682.1102901</v>
      </c>
      <c r="N108" s="175">
        <v>1662648870.9841504</v>
      </c>
      <c r="O108" s="175">
        <v>1550441581.4685955</v>
      </c>
      <c r="P108" s="175">
        <v>1558507036.8199964</v>
      </c>
      <c r="Q108" s="176">
        <v>1566854783.1086962</v>
      </c>
    </row>
    <row r="109" spans="1:17" outlineLevel="1" x14ac:dyDescent="0.25">
      <c r="A109" s="107" t="s">
        <v>1042</v>
      </c>
      <c r="B109" s="139" t="s">
        <v>1094</v>
      </c>
      <c r="C109" s="139" t="s">
        <v>11</v>
      </c>
      <c r="D109" s="150">
        <v>34011218</v>
      </c>
      <c r="E109" s="143">
        <v>80830697</v>
      </c>
      <c r="F109" s="143">
        <v>52988168</v>
      </c>
      <c r="G109" s="143">
        <v>75000000</v>
      </c>
      <c r="H109" s="143">
        <v>77625000</v>
      </c>
      <c r="I109" s="143">
        <v>80341875</v>
      </c>
      <c r="J109" s="143">
        <v>83153840.625</v>
      </c>
      <c r="K109" s="143">
        <v>86064225.046875</v>
      </c>
      <c r="L109" s="143">
        <v>89076472.923515618</v>
      </c>
      <c r="M109" s="143">
        <v>92194149.475838661</v>
      </c>
      <c r="N109" s="143">
        <v>95420944.707493007</v>
      </c>
      <c r="O109" s="143">
        <v>98760677.772255257</v>
      </c>
      <c r="P109" s="143">
        <v>102217301.49428418</v>
      </c>
      <c r="Q109" s="144">
        <v>105794907.04658411</v>
      </c>
    </row>
    <row r="110" spans="1:17" outlineLevel="1" x14ac:dyDescent="0.25">
      <c r="A110" s="107" t="s">
        <v>1043</v>
      </c>
      <c r="B110" s="139" t="s">
        <v>610</v>
      </c>
      <c r="C110" s="139" t="s">
        <v>11</v>
      </c>
      <c r="D110" s="150">
        <v>2976449929</v>
      </c>
      <c r="E110" s="143">
        <v>7047842313</v>
      </c>
      <c r="F110" s="143">
        <v>5152753212</v>
      </c>
      <c r="G110" s="143">
        <v>4680000000</v>
      </c>
      <c r="H110" s="143">
        <v>4200000000</v>
      </c>
      <c r="I110" s="143">
        <v>3720000000</v>
      </c>
      <c r="J110" s="143">
        <v>3240000000</v>
      </c>
      <c r="K110" s="143">
        <v>2760000000</v>
      </c>
      <c r="L110" s="143">
        <v>2280000000</v>
      </c>
      <c r="M110" s="143">
        <v>1800000000</v>
      </c>
      <c r="N110" s="143">
        <v>1440000000</v>
      </c>
      <c r="O110" s="143">
        <v>1320000000</v>
      </c>
      <c r="P110" s="143">
        <v>1320000000</v>
      </c>
      <c r="Q110" s="144">
        <v>1320000000</v>
      </c>
    </row>
    <row r="111" spans="1:17" outlineLevel="1" x14ac:dyDescent="0.25">
      <c r="A111" s="107" t="s">
        <v>1044</v>
      </c>
      <c r="B111" s="139" t="s">
        <v>412</v>
      </c>
      <c r="C111" s="139" t="s">
        <v>11</v>
      </c>
      <c r="D111" s="150">
        <v>8785291339</v>
      </c>
      <c r="E111" s="143">
        <v>22372544837</v>
      </c>
      <c r="F111" s="143">
        <v>0</v>
      </c>
      <c r="G111" s="143">
        <v>0</v>
      </c>
      <c r="H111" s="143">
        <v>0</v>
      </c>
      <c r="I111" s="143">
        <v>0</v>
      </c>
      <c r="J111" s="143">
        <v>0</v>
      </c>
      <c r="K111" s="143">
        <v>0</v>
      </c>
      <c r="L111" s="143">
        <v>0</v>
      </c>
      <c r="M111" s="143">
        <v>0</v>
      </c>
      <c r="N111" s="143">
        <v>0</v>
      </c>
      <c r="O111" s="143">
        <v>0</v>
      </c>
      <c r="P111" s="143">
        <v>0</v>
      </c>
      <c r="Q111" s="144">
        <v>0</v>
      </c>
    </row>
    <row r="112" spans="1:17" outlineLevel="1" x14ac:dyDescent="0.25">
      <c r="A112" s="107" t="s">
        <v>1082</v>
      </c>
      <c r="B112" s="140" t="s">
        <v>608</v>
      </c>
      <c r="C112" s="140" t="s">
        <v>11</v>
      </c>
      <c r="D112" s="151">
        <v>1422436</v>
      </c>
      <c r="E112" s="146">
        <v>85187575</v>
      </c>
      <c r="F112" s="146">
        <v>208082086</v>
      </c>
      <c r="G112" s="146">
        <v>100000000</v>
      </c>
      <c r="H112" s="146">
        <v>103499999.99999999</v>
      </c>
      <c r="I112" s="146">
        <v>107122499.99999997</v>
      </c>
      <c r="J112" s="146">
        <v>110871787.49999996</v>
      </c>
      <c r="K112" s="146">
        <v>114752300.06249994</v>
      </c>
      <c r="L112" s="146">
        <v>118768630.56468743</v>
      </c>
      <c r="M112" s="146">
        <v>122925532.63445148</v>
      </c>
      <c r="N112" s="146">
        <v>127227926.27665727</v>
      </c>
      <c r="O112" s="146">
        <v>131680903.69634026</v>
      </c>
      <c r="P112" s="146">
        <v>136289735.32571217</v>
      </c>
      <c r="Q112" s="147">
        <v>141059876.06211209</v>
      </c>
    </row>
    <row r="113" spans="1:17" outlineLevel="1" x14ac:dyDescent="0.25"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</row>
    <row r="114" spans="1:17" s="16" customFormat="1" outlineLevel="1" x14ac:dyDescent="0.25">
      <c r="A114" s="261"/>
      <c r="B114" s="172" t="s">
        <v>1113</v>
      </c>
      <c r="C114" s="173" t="s">
        <v>11</v>
      </c>
      <c r="D114" s="177">
        <v>-109330184626</v>
      </c>
      <c r="E114" s="175">
        <v>-119372735329</v>
      </c>
      <c r="F114" s="175">
        <v>-395000106136</v>
      </c>
      <c r="G114" s="175">
        <v>-65563712924.370468</v>
      </c>
      <c r="H114" s="175">
        <v>-20048018635.628471</v>
      </c>
      <c r="I114" s="175">
        <v>16672100283.015759</v>
      </c>
      <c r="J114" s="175">
        <v>54676387323.372459</v>
      </c>
      <c r="K114" s="175">
        <v>92379959149.253082</v>
      </c>
      <c r="L114" s="175">
        <v>96437267520.277603</v>
      </c>
      <c r="M114" s="175">
        <v>100589135458.3867</v>
      </c>
      <c r="N114" s="175">
        <v>104816494126.51526</v>
      </c>
      <c r="O114" s="175">
        <v>109081921311.14256</v>
      </c>
      <c r="P114" s="175">
        <v>113387196609.46486</v>
      </c>
      <c r="Q114" s="176">
        <v>117858376291.07077</v>
      </c>
    </row>
    <row r="115" spans="1:17" s="6" customFormat="1" outlineLevel="1" x14ac:dyDescent="0.25">
      <c r="A115" s="262"/>
      <c r="B115" s="155" t="s">
        <v>1320</v>
      </c>
      <c r="C115" s="156" t="s">
        <v>1111</v>
      </c>
      <c r="D115" s="157">
        <v>-9.1841267310630789E-2</v>
      </c>
      <c r="E115" s="158">
        <v>-8.8427296541287198E-2</v>
      </c>
      <c r="F115" s="158">
        <v>-0.27346708709570744</v>
      </c>
      <c r="G115" s="158">
        <v>-4.4512115293441637E-2</v>
      </c>
      <c r="H115" s="158">
        <v>-1.3085180220240789E-2</v>
      </c>
      <c r="I115" s="158">
        <v>1.0461458995451704E-2</v>
      </c>
      <c r="J115" s="158">
        <v>3.2983396895878196E-2</v>
      </c>
      <c r="K115" s="158">
        <v>5.3575588469101439E-2</v>
      </c>
      <c r="L115" s="158">
        <v>5.3768477286834725E-2</v>
      </c>
      <c r="M115" s="158">
        <v>5.3917211198578403E-2</v>
      </c>
      <c r="N115" s="158">
        <v>5.401316527172699E-2</v>
      </c>
      <c r="O115" s="158">
        <v>5.4040130250858444E-2</v>
      </c>
      <c r="P115" s="158">
        <v>5.4003417630758471E-2</v>
      </c>
      <c r="Q115" s="159">
        <v>5.3964898292342404E-2</v>
      </c>
    </row>
    <row r="116" spans="1:17" outlineLevel="1" x14ac:dyDescent="0.25"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</row>
    <row r="117" spans="1:17" outlineLevel="1" x14ac:dyDescent="0.25">
      <c r="B117" s="160" t="s">
        <v>1161</v>
      </c>
      <c r="C117" s="164" t="s">
        <v>11</v>
      </c>
      <c r="D117" s="161">
        <v>0</v>
      </c>
      <c r="E117" s="162">
        <v>0</v>
      </c>
      <c r="F117" s="162">
        <v>0</v>
      </c>
      <c r="G117" s="162">
        <v>0</v>
      </c>
      <c r="H117" s="162">
        <v>0</v>
      </c>
      <c r="I117" s="162">
        <v>5835235099.0555153</v>
      </c>
      <c r="J117" s="162">
        <v>19136735563.180359</v>
      </c>
      <c r="K117" s="162">
        <v>32332985702.238575</v>
      </c>
      <c r="L117" s="162">
        <v>33753043632.09716</v>
      </c>
      <c r="M117" s="162">
        <v>35206197410.435341</v>
      </c>
      <c r="N117" s="162">
        <v>36685772944.280334</v>
      </c>
      <c r="O117" s="162">
        <v>38178672458.899895</v>
      </c>
      <c r="P117" s="162">
        <v>39685518813.312698</v>
      </c>
      <c r="Q117" s="163">
        <v>41250431701.874763</v>
      </c>
    </row>
    <row r="118" spans="1:17" outlineLevel="1" x14ac:dyDescent="0.25">
      <c r="B118" s="108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</row>
    <row r="119" spans="1:17" s="16" customFormat="1" outlineLevel="1" x14ac:dyDescent="0.25">
      <c r="B119" s="172" t="s">
        <v>1162</v>
      </c>
      <c r="C119" s="173" t="s">
        <v>11</v>
      </c>
      <c r="D119" s="177">
        <v>-109330184626</v>
      </c>
      <c r="E119" s="175">
        <v>-119372735329</v>
      </c>
      <c r="F119" s="175">
        <v>-395000106136</v>
      </c>
      <c r="G119" s="175">
        <v>-65563712924.370468</v>
      </c>
      <c r="H119" s="175">
        <v>-20048018635.628471</v>
      </c>
      <c r="I119" s="175">
        <v>10836865183.960243</v>
      </c>
      <c r="J119" s="175">
        <v>35539651760.192101</v>
      </c>
      <c r="K119" s="175">
        <v>60046973447.014511</v>
      </c>
      <c r="L119" s="175">
        <v>62684223888.180443</v>
      </c>
      <c r="M119" s="175">
        <v>65382938047.951363</v>
      </c>
      <c r="N119" s="175">
        <v>68130721182.234924</v>
      </c>
      <c r="O119" s="175">
        <v>70903248852.242676</v>
      </c>
      <c r="P119" s="175">
        <v>73701677796.152161</v>
      </c>
      <c r="Q119" s="176">
        <v>76607944589.196014</v>
      </c>
    </row>
    <row r="120" spans="1:17" outlineLevel="1" x14ac:dyDescent="0.25">
      <c r="B120" s="141" t="s">
        <v>1163</v>
      </c>
      <c r="C120" s="156" t="s">
        <v>1111</v>
      </c>
      <c r="D120" s="157">
        <v>-9.1841267310630789E-2</v>
      </c>
      <c r="E120" s="158">
        <v>-8.8427296541287198E-2</v>
      </c>
      <c r="F120" s="158">
        <v>-0.27346708709570744</v>
      </c>
      <c r="G120" s="158">
        <v>-4.4512115293441637E-2</v>
      </c>
      <c r="H120" s="158">
        <v>-1.3085180220240789E-2</v>
      </c>
      <c r="I120" s="158">
        <v>6.7999483470436084E-3</v>
      </c>
      <c r="J120" s="158">
        <v>2.1439207982320827E-2</v>
      </c>
      <c r="K120" s="158">
        <v>3.4824132504915936E-2</v>
      </c>
      <c r="L120" s="158">
        <v>3.494951023644257E-2</v>
      </c>
      <c r="M120" s="158">
        <v>3.5046187279075963E-2</v>
      </c>
      <c r="N120" s="158">
        <v>3.5108557426622548E-2</v>
      </c>
      <c r="O120" s="158">
        <v>3.5126084663057992E-2</v>
      </c>
      <c r="P120" s="158">
        <v>3.5102221459993012E-2</v>
      </c>
      <c r="Q120" s="159">
        <v>3.5077183890022567E-2</v>
      </c>
    </row>
    <row r="121" spans="1:17" x14ac:dyDescent="0.25"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</row>
    <row r="122" spans="1:17" s="348" customFormat="1" x14ac:dyDescent="0.25">
      <c r="B122" s="350" t="s">
        <v>1167</v>
      </c>
      <c r="C122" s="350"/>
      <c r="D122" s="170"/>
      <c r="E122" s="170"/>
      <c r="F122" s="170"/>
      <c r="G122" s="349" t="s">
        <v>1102</v>
      </c>
      <c r="H122" s="349" t="s">
        <v>1103</v>
      </c>
      <c r="I122" s="349" t="s">
        <v>1104</v>
      </c>
      <c r="J122" s="349" t="s">
        <v>1105</v>
      </c>
      <c r="K122" s="349" t="s">
        <v>1106</v>
      </c>
      <c r="L122" s="349" t="s">
        <v>1107</v>
      </c>
      <c r="M122" s="349" t="s">
        <v>1108</v>
      </c>
      <c r="N122" s="349" t="s">
        <v>1346</v>
      </c>
      <c r="O122" s="349" t="s">
        <v>1347</v>
      </c>
      <c r="P122" s="349" t="s">
        <v>1348</v>
      </c>
      <c r="Q122" s="349" t="s">
        <v>1349</v>
      </c>
    </row>
    <row r="123" spans="1:17" outlineLevel="1" x14ac:dyDescent="0.25"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</row>
    <row r="124" spans="1:17" s="16" customFormat="1" outlineLevel="1" x14ac:dyDescent="0.25">
      <c r="B124" s="166" t="s">
        <v>1170</v>
      </c>
      <c r="C124" s="136" t="s">
        <v>11</v>
      </c>
      <c r="D124" s="12"/>
      <c r="E124" s="12"/>
      <c r="F124" s="9"/>
      <c r="G124" s="153">
        <v>-83271460827.473404</v>
      </c>
      <c r="H124" s="134">
        <v>-40409845309.123329</v>
      </c>
      <c r="I124" s="134">
        <v>-9776978388.6782379</v>
      </c>
      <c r="J124" s="134">
        <v>22057004588.778442</v>
      </c>
      <c r="K124" s="134">
        <v>58237387701.589607</v>
      </c>
      <c r="L124" s="134">
        <v>60470777517.100723</v>
      </c>
      <c r="M124" s="134">
        <v>62788142097.660538</v>
      </c>
      <c r="N124" s="134">
        <v>65192467732.637352</v>
      </c>
      <c r="O124" s="134">
        <v>67686996649.896324</v>
      </c>
      <c r="P124" s="134">
        <v>70275009327.370987</v>
      </c>
      <c r="Q124" s="135">
        <v>72959900166.054871</v>
      </c>
    </row>
    <row r="125" spans="1:17" outlineLevel="1" x14ac:dyDescent="0.25">
      <c r="B125" s="108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</row>
    <row r="126" spans="1:17" s="16" customFormat="1" outlineLevel="1" x14ac:dyDescent="0.25">
      <c r="B126" s="172" t="s">
        <v>1172</v>
      </c>
      <c r="C126" s="178" t="s">
        <v>11</v>
      </c>
      <c r="D126" s="12"/>
      <c r="E126" s="12"/>
      <c r="F126" s="12"/>
      <c r="G126" s="177">
        <v>-10631200.302105427</v>
      </c>
      <c r="H126" s="175">
        <v>-10166680713.768532</v>
      </c>
      <c r="I126" s="175">
        <v>15986102535.192446</v>
      </c>
      <c r="J126" s="175">
        <v>13090686598.877415</v>
      </c>
      <c r="K126" s="175">
        <v>14541566247.626467</v>
      </c>
      <c r="L126" s="175">
        <v>16087922018.358572</v>
      </c>
      <c r="M126" s="175">
        <v>-8176450004.0720081</v>
      </c>
      <c r="N126" s="175">
        <v>-8504864695.5159454</v>
      </c>
      <c r="O126" s="175">
        <v>-8846569762.6841431</v>
      </c>
      <c r="P126" s="175">
        <v>-9201974961.9101677</v>
      </c>
      <c r="Q126" s="176">
        <v>-9571627687.0116463</v>
      </c>
    </row>
    <row r="127" spans="1:17" outlineLevel="1" x14ac:dyDescent="0.25">
      <c r="B127" s="139" t="s">
        <v>1120</v>
      </c>
      <c r="C127" s="167" t="s">
        <v>11</v>
      </c>
      <c r="D127" s="9"/>
      <c r="E127" s="9"/>
      <c r="F127" s="9"/>
      <c r="G127" s="150">
        <v>831971147.09106445</v>
      </c>
      <c r="H127" s="143">
        <v>-9205078738.4161377</v>
      </c>
      <c r="I127" s="143">
        <v>16986328942.920258</v>
      </c>
      <c r="J127" s="143">
        <v>14131100942.120941</v>
      </c>
      <c r="K127" s="143">
        <v>15623779881.75885</v>
      </c>
      <c r="L127" s="143">
        <v>17213610685.111298</v>
      </c>
      <c r="M127" s="143">
        <v>-7005526319.2783508</v>
      </c>
      <c r="N127" s="143">
        <v>-7286909775.8398438</v>
      </c>
      <c r="O127" s="143">
        <v>-7579680335.2250977</v>
      </c>
      <c r="P127" s="143">
        <v>-7884189073.8520508</v>
      </c>
      <c r="Q127" s="144">
        <v>-8200904994.9916077</v>
      </c>
    </row>
    <row r="128" spans="1:17" outlineLevel="1" x14ac:dyDescent="0.25">
      <c r="B128" s="139" t="s">
        <v>1055</v>
      </c>
      <c r="C128" s="167" t="s">
        <v>11</v>
      </c>
      <c r="D128" s="9"/>
      <c r="E128" s="9"/>
      <c r="F128" s="9"/>
      <c r="G128" s="150">
        <v>-794930720.04544449</v>
      </c>
      <c r="H128" s="143">
        <v>-821882030.21572113</v>
      </c>
      <c r="I128" s="143">
        <v>-854894365.57932663</v>
      </c>
      <c r="J128" s="143">
        <v>-889243028.41326904</v>
      </c>
      <c r="K128" s="143">
        <v>-924968918.06186676</v>
      </c>
      <c r="L128" s="143">
        <v>-962127065.60062027</v>
      </c>
      <c r="M128" s="143">
        <v>-1000789474.1826134</v>
      </c>
      <c r="N128" s="143">
        <v>-1040987110.8342743</v>
      </c>
      <c r="O128" s="143">
        <v>-1082811476.4607239</v>
      </c>
      <c r="P128" s="143">
        <v>-1126312724.8359985</v>
      </c>
      <c r="Q128" s="144">
        <v>-1171557856.4273834</v>
      </c>
    </row>
    <row r="129" spans="2:17" outlineLevel="1" x14ac:dyDescent="0.25">
      <c r="B129" s="140" t="s">
        <v>1056</v>
      </c>
      <c r="C129" s="165" t="s">
        <v>11</v>
      </c>
      <c r="D129" s="9"/>
      <c r="E129" s="9"/>
      <c r="F129" s="9"/>
      <c r="G129" s="151">
        <v>-47671627.347725391</v>
      </c>
      <c r="H129" s="146">
        <v>-139719945.13667297</v>
      </c>
      <c r="I129" s="146">
        <v>-145332042.14848471</v>
      </c>
      <c r="J129" s="146">
        <v>-151171314.83025646</v>
      </c>
      <c r="K129" s="146">
        <v>-157244716.07051706</v>
      </c>
      <c r="L129" s="146">
        <v>-163561601.15210533</v>
      </c>
      <c r="M129" s="146">
        <v>-170134210.61104441</v>
      </c>
      <c r="N129" s="146">
        <v>-176967808.84182739</v>
      </c>
      <c r="O129" s="146">
        <v>-184077950.99832249</v>
      </c>
      <c r="P129" s="146">
        <v>-191473163.22211933</v>
      </c>
      <c r="Q129" s="147">
        <v>-199164835.59265518</v>
      </c>
    </row>
    <row r="130" spans="2:17" outlineLevel="1" x14ac:dyDescent="0.25">
      <c r="B130" s="10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</row>
    <row r="131" spans="2:17" s="16" customFormat="1" outlineLevel="1" x14ac:dyDescent="0.25">
      <c r="B131" s="172" t="s">
        <v>1173</v>
      </c>
      <c r="C131" s="178" t="s">
        <v>11</v>
      </c>
      <c r="D131" s="12"/>
      <c r="E131" s="12"/>
      <c r="F131" s="12"/>
      <c r="G131" s="177">
        <v>-205447887371.94128</v>
      </c>
      <c r="H131" s="175">
        <v>7683974806.538929</v>
      </c>
      <c r="I131" s="175">
        <v>15352188823.638563</v>
      </c>
      <c r="J131" s="175">
        <v>15921858014.868229</v>
      </c>
      <c r="K131" s="175">
        <v>14964713256.301573</v>
      </c>
      <c r="L131" s="175">
        <v>33950835271.242256</v>
      </c>
      <c r="M131" s="175">
        <v>35314359943.741554</v>
      </c>
      <c r="N131" s="175">
        <v>36732012999.137329</v>
      </c>
      <c r="O131" s="175">
        <v>38207009887.208702</v>
      </c>
      <c r="P131" s="175">
        <v>39741123115.375893</v>
      </c>
      <c r="Q131" s="176">
        <v>41336714288.370193</v>
      </c>
    </row>
    <row r="132" spans="2:17" outlineLevel="1" x14ac:dyDescent="0.25">
      <c r="B132" s="139" t="s">
        <v>1058</v>
      </c>
      <c r="C132" s="167" t="s">
        <v>11</v>
      </c>
      <c r="D132" s="9"/>
      <c r="E132" s="9"/>
      <c r="F132" s="9"/>
      <c r="G132" s="150">
        <v>-208426602318.04883</v>
      </c>
      <c r="H132" s="143">
        <v>201879933.06274414</v>
      </c>
      <c r="I132" s="143">
        <v>7835463415.2658691</v>
      </c>
      <c r="J132" s="143">
        <v>7968598580.8112793</v>
      </c>
      <c r="K132" s="143">
        <v>6692648197.3831787</v>
      </c>
      <c r="L132" s="143">
        <v>25347203035.253052</v>
      </c>
      <c r="M132" s="143">
        <v>26365762802.665527</v>
      </c>
      <c r="N132" s="143">
        <v>27424768098.510742</v>
      </c>
      <c r="O132" s="143">
        <v>28526629510.851807</v>
      </c>
      <c r="P132" s="143">
        <v>29672668339.067017</v>
      </c>
      <c r="Q132" s="144">
        <v>30864649708.063965</v>
      </c>
    </row>
    <row r="133" spans="2:17" outlineLevel="1" x14ac:dyDescent="0.25">
      <c r="B133" s="139" t="s">
        <v>1059</v>
      </c>
      <c r="C133" s="167" t="s">
        <v>11</v>
      </c>
      <c r="D133" s="9"/>
      <c r="E133" s="9"/>
      <c r="F133" s="9"/>
      <c r="G133" s="150">
        <v>3341007764.2138062</v>
      </c>
      <c r="H133" s="143">
        <v>6930887773.6491699</v>
      </c>
      <c r="I133" s="143">
        <v>7209279055.0488892</v>
      </c>
      <c r="J133" s="143">
        <v>7498939515.4613953</v>
      </c>
      <c r="K133" s="143">
        <v>7800214056.8979187</v>
      </c>
      <c r="L133" s="143">
        <v>8113566753.5132751</v>
      </c>
      <c r="M133" s="143">
        <v>8439604804.096344</v>
      </c>
      <c r="N133" s="143">
        <v>8778589351.9461365</v>
      </c>
      <c r="O133" s="143">
        <v>9131292019.3653564</v>
      </c>
      <c r="P133" s="143">
        <v>9498135750.4827576</v>
      </c>
      <c r="Q133" s="144">
        <v>9879685556.7019958</v>
      </c>
    </row>
    <row r="134" spans="2:17" outlineLevel="1" x14ac:dyDescent="0.25">
      <c r="B134" s="139" t="s">
        <v>1060</v>
      </c>
      <c r="C134" s="167" t="s">
        <v>11</v>
      </c>
      <c r="D134" s="9"/>
      <c r="E134" s="9"/>
      <c r="F134" s="9"/>
      <c r="G134" s="150">
        <v>0</v>
      </c>
      <c r="H134" s="143">
        <v>0</v>
      </c>
      <c r="I134" s="143">
        <v>0</v>
      </c>
      <c r="J134" s="143">
        <v>0</v>
      </c>
      <c r="K134" s="143">
        <v>0</v>
      </c>
      <c r="L134" s="143">
        <v>0</v>
      </c>
      <c r="M134" s="143">
        <v>0</v>
      </c>
      <c r="N134" s="143">
        <v>0</v>
      </c>
      <c r="O134" s="143">
        <v>0</v>
      </c>
      <c r="P134" s="143">
        <v>0</v>
      </c>
      <c r="Q134" s="144">
        <v>0</v>
      </c>
    </row>
    <row r="135" spans="2:17" outlineLevel="1" x14ac:dyDescent="0.25">
      <c r="B135" s="139" t="s">
        <v>1062</v>
      </c>
      <c r="C135" s="167" t="s">
        <v>11</v>
      </c>
      <c r="D135" s="9"/>
      <c r="E135" s="9"/>
      <c r="F135" s="9"/>
      <c r="G135" s="150">
        <v>-338747582.44444442</v>
      </c>
      <c r="H135" s="143">
        <v>90250000</v>
      </c>
      <c r="I135" s="143">
        <v>94311249.999999762</v>
      </c>
      <c r="J135" s="143">
        <v>98555256.25</v>
      </c>
      <c r="K135" s="143">
        <v>102990242.78125048</v>
      </c>
      <c r="L135" s="143">
        <v>107624803.70640612</v>
      </c>
      <c r="M135" s="143">
        <v>112467919.87319374</v>
      </c>
      <c r="N135" s="143">
        <v>117528976.26748848</v>
      </c>
      <c r="O135" s="143">
        <v>122817780.19952536</v>
      </c>
      <c r="P135" s="143">
        <v>128344580.30850363</v>
      </c>
      <c r="Q135" s="144">
        <v>134120086.42238617</v>
      </c>
    </row>
    <row r="136" spans="2:17" outlineLevel="1" x14ac:dyDescent="0.25">
      <c r="B136" s="139" t="s">
        <v>1063</v>
      </c>
      <c r="C136" s="167" t="s">
        <v>11</v>
      </c>
      <c r="D136" s="9"/>
      <c r="E136" s="9"/>
      <c r="F136" s="9"/>
      <c r="G136" s="150">
        <v>144369731.05180645</v>
      </c>
      <c r="H136" s="143">
        <v>345893615.59681416</v>
      </c>
      <c r="I136" s="143">
        <v>93449892.142699242</v>
      </c>
      <c r="J136" s="143">
        <v>231270638.3676939</v>
      </c>
      <c r="K136" s="143">
        <v>239365110.71056461</v>
      </c>
      <c r="L136" s="143">
        <v>247742889.58543777</v>
      </c>
      <c r="M136" s="143">
        <v>256413890.72092628</v>
      </c>
      <c r="N136" s="143">
        <v>265388376.89616203</v>
      </c>
      <c r="O136" s="143">
        <v>274676970.08751965</v>
      </c>
      <c r="P136" s="143">
        <v>284290664.0405798</v>
      </c>
      <c r="Q136" s="144">
        <v>294240837.28201008</v>
      </c>
    </row>
    <row r="137" spans="2:17" outlineLevel="1" x14ac:dyDescent="0.25">
      <c r="B137" s="139" t="s">
        <v>1055</v>
      </c>
      <c r="C137" s="167" t="s">
        <v>11</v>
      </c>
      <c r="D137" s="9"/>
      <c r="E137" s="9"/>
      <c r="F137" s="9"/>
      <c r="G137" s="150">
        <v>-233394381.79545569</v>
      </c>
      <c r="H137" s="143">
        <v>82188203.021572351</v>
      </c>
      <c r="I137" s="143">
        <v>85489436.557932377</v>
      </c>
      <c r="J137" s="143">
        <v>88924302.84132719</v>
      </c>
      <c r="K137" s="143">
        <v>92496891.806186676</v>
      </c>
      <c r="L137" s="143">
        <v>96212706.560061932</v>
      </c>
      <c r="M137" s="143">
        <v>100078947.41826153</v>
      </c>
      <c r="N137" s="143">
        <v>104098711.08342743</v>
      </c>
      <c r="O137" s="143">
        <v>108281147.64607239</v>
      </c>
      <c r="P137" s="143">
        <v>112631272.48359966</v>
      </c>
      <c r="Q137" s="144">
        <v>117155785.64273834</v>
      </c>
    </row>
    <row r="138" spans="2:17" outlineLevel="1" x14ac:dyDescent="0.25">
      <c r="B138" s="140" t="s">
        <v>1064</v>
      </c>
      <c r="C138" s="165" t="s">
        <v>11</v>
      </c>
      <c r="D138" s="9"/>
      <c r="E138" s="9"/>
      <c r="F138" s="9"/>
      <c r="G138" s="151">
        <v>65479415.081817746</v>
      </c>
      <c r="H138" s="146">
        <v>32875281.208629012</v>
      </c>
      <c r="I138" s="146">
        <v>34195774.623172879</v>
      </c>
      <c r="J138" s="146">
        <v>35569721.136530876</v>
      </c>
      <c r="K138" s="146">
        <v>36998756.722474694</v>
      </c>
      <c r="L138" s="146">
        <v>38485082.624024749</v>
      </c>
      <c r="M138" s="146">
        <v>40031578.967304587</v>
      </c>
      <c r="N138" s="146">
        <v>41639484.433371067</v>
      </c>
      <c r="O138" s="146">
        <v>43312459.058429003</v>
      </c>
      <c r="P138" s="146">
        <v>45052508.993439674</v>
      </c>
      <c r="Q138" s="147">
        <v>46862314.257095337</v>
      </c>
    </row>
    <row r="139" spans="2:17" outlineLevel="1" x14ac:dyDescent="0.25"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</row>
    <row r="140" spans="2:17" outlineLevel="1" x14ac:dyDescent="0.25">
      <c r="B140" s="160" t="s">
        <v>1147</v>
      </c>
      <c r="C140" s="164" t="s">
        <v>11</v>
      </c>
      <c r="D140" s="9"/>
      <c r="E140" s="9"/>
      <c r="F140" s="9"/>
      <c r="G140" s="161">
        <v>-589176339.89890885</v>
      </c>
      <c r="H140" s="162">
        <v>-612846542.36912179</v>
      </c>
      <c r="I140" s="162">
        <v>-637467500.09780598</v>
      </c>
      <c r="J140" s="162">
        <v>-663077699.31610823</v>
      </c>
      <c r="K140" s="162">
        <v>-689716804.15629005</v>
      </c>
      <c r="L140" s="162">
        <v>-717426063.64558792</v>
      </c>
      <c r="M140" s="162">
        <v>-746248800.50204754</v>
      </c>
      <c r="N140" s="162">
        <v>-776229229.29407406</v>
      </c>
      <c r="O140" s="162">
        <v>-807414199.81614304</v>
      </c>
      <c r="P140" s="162">
        <v>-839852006.29141998</v>
      </c>
      <c r="Q140" s="163">
        <v>-873592872.55652905</v>
      </c>
    </row>
    <row r="141" spans="2:17" outlineLevel="1" x14ac:dyDescent="0.25">
      <c r="B141" s="160" t="s">
        <v>1161</v>
      </c>
      <c r="C141" s="164" t="s">
        <v>11</v>
      </c>
      <c r="D141" s="9"/>
      <c r="E141" s="9"/>
      <c r="F141" s="9"/>
      <c r="G141" s="161">
        <v>0</v>
      </c>
      <c r="H141" s="162">
        <v>0</v>
      </c>
      <c r="I141" s="162">
        <v>-5835235099.0555153</v>
      </c>
      <c r="J141" s="162">
        <v>-19136735563.180359</v>
      </c>
      <c r="K141" s="162">
        <v>-32332985702.238575</v>
      </c>
      <c r="L141" s="162">
        <v>-33753043632.09716</v>
      </c>
      <c r="M141" s="162">
        <v>-35206197410.435341</v>
      </c>
      <c r="N141" s="162">
        <v>-36685772944.280334</v>
      </c>
      <c r="O141" s="162">
        <v>-38178672458.899895</v>
      </c>
      <c r="P141" s="162">
        <v>-39685518813.312698</v>
      </c>
      <c r="Q141" s="163">
        <v>-41250431701.874763</v>
      </c>
    </row>
    <row r="142" spans="2:17" s="16" customFormat="1" outlineLevel="1" x14ac:dyDescent="0.25">
      <c r="B142" s="166" t="s">
        <v>1174</v>
      </c>
      <c r="C142" s="136" t="s">
        <v>11</v>
      </c>
      <c r="D142" s="12"/>
      <c r="E142" s="12"/>
      <c r="F142" s="9"/>
      <c r="G142" s="153">
        <v>-289319155739.61572</v>
      </c>
      <c r="H142" s="134">
        <v>-43505397758.722061</v>
      </c>
      <c r="I142" s="134">
        <v>15088610370.999451</v>
      </c>
      <c r="J142" s="134">
        <v>31269735940.027611</v>
      </c>
      <c r="K142" s="134">
        <v>54720964699.122787</v>
      </c>
      <c r="L142" s="134">
        <v>76039065110.958801</v>
      </c>
      <c r="M142" s="134">
        <v>53973605826.392693</v>
      </c>
      <c r="N142" s="134">
        <v>55957613862.684326</v>
      </c>
      <c r="O142" s="134">
        <v>58061350115.704842</v>
      </c>
      <c r="P142" s="134">
        <v>60288786661.23259</v>
      </c>
      <c r="Q142" s="135">
        <v>62600962192.982124</v>
      </c>
    </row>
    <row r="143" spans="2:17" outlineLevel="1" x14ac:dyDescent="0.25">
      <c r="B143" s="160" t="s">
        <v>1175</v>
      </c>
      <c r="C143" s="164" t="s">
        <v>11</v>
      </c>
      <c r="D143" s="9"/>
      <c r="E143" s="9"/>
      <c r="F143" s="9"/>
      <c r="G143" s="161">
        <v>0</v>
      </c>
      <c r="H143" s="162">
        <v>0</v>
      </c>
      <c r="I143" s="162">
        <v>0</v>
      </c>
      <c r="J143" s="162">
        <v>0</v>
      </c>
      <c r="K143" s="162">
        <v>0</v>
      </c>
      <c r="L143" s="162">
        <v>0</v>
      </c>
      <c r="M143" s="162">
        <v>0</v>
      </c>
      <c r="N143" s="162">
        <v>0</v>
      </c>
      <c r="O143" s="162">
        <v>0</v>
      </c>
      <c r="P143" s="162">
        <v>0</v>
      </c>
      <c r="Q143" s="163">
        <v>0</v>
      </c>
    </row>
    <row r="144" spans="2:17" outlineLevel="1" x14ac:dyDescent="0.25">
      <c r="B144" s="160" t="s">
        <v>424</v>
      </c>
      <c r="C144" s="164" t="s">
        <v>11</v>
      </c>
      <c r="D144" s="9"/>
      <c r="E144" s="9"/>
      <c r="F144" s="9"/>
      <c r="G144" s="161">
        <v>22830583171.082718</v>
      </c>
      <c r="H144" s="162">
        <v>25133356249.948463</v>
      </c>
      <c r="I144" s="162">
        <v>30874441123.167164</v>
      </c>
      <c r="J144" s="162">
        <v>36703921979.055405</v>
      </c>
      <c r="K144" s="162">
        <v>37891844949.940506</v>
      </c>
      <c r="L144" s="162">
        <v>39179735804.582062</v>
      </c>
      <c r="M144" s="162">
        <v>40506900416.380028</v>
      </c>
      <c r="N144" s="162">
        <v>42005214984.244873</v>
      </c>
      <c r="O144" s="162">
        <v>43692773262.197662</v>
      </c>
      <c r="P144" s="162">
        <v>45448128378.823723</v>
      </c>
      <c r="Q144" s="163">
        <v>47273998329.816658</v>
      </c>
    </row>
    <row r="145" spans="2:17" outlineLevel="1" x14ac:dyDescent="0.25">
      <c r="B145" s="160" t="s">
        <v>608</v>
      </c>
      <c r="C145" s="164" t="s">
        <v>11</v>
      </c>
      <c r="D145" s="9"/>
      <c r="E145" s="9"/>
      <c r="F145" s="9"/>
      <c r="G145" s="161">
        <v>-4855000000</v>
      </c>
      <c r="H145" s="162">
        <v>-4381125000</v>
      </c>
      <c r="I145" s="162">
        <v>-3907464375</v>
      </c>
      <c r="J145" s="162">
        <v>-3434025628.125</v>
      </c>
      <c r="K145" s="162">
        <v>-2960816525.109375</v>
      </c>
      <c r="L145" s="162">
        <v>-2487845103.488203</v>
      </c>
      <c r="M145" s="162">
        <v>-2015119682.1102901</v>
      </c>
      <c r="N145" s="162">
        <v>-1662648870.9841504</v>
      </c>
      <c r="O145" s="162">
        <v>-1550441581.4685955</v>
      </c>
      <c r="P145" s="162">
        <v>-1558507036.8199964</v>
      </c>
      <c r="Q145" s="163">
        <v>-1566854783.1086962</v>
      </c>
    </row>
    <row r="146" spans="2:17" outlineLevel="1" x14ac:dyDescent="0.25">
      <c r="B146" s="160" t="s">
        <v>1328</v>
      </c>
      <c r="C146" s="164" t="s">
        <v>11</v>
      </c>
      <c r="D146" s="9"/>
      <c r="E146" s="9"/>
      <c r="F146" s="9"/>
      <c r="G146" s="161">
        <v>233875787588</v>
      </c>
      <c r="H146" s="162">
        <v>0</v>
      </c>
      <c r="I146" s="162">
        <v>0</v>
      </c>
      <c r="J146" s="162">
        <v>0</v>
      </c>
      <c r="K146" s="162">
        <v>0</v>
      </c>
      <c r="L146" s="162">
        <v>0</v>
      </c>
      <c r="M146" s="162">
        <v>0</v>
      </c>
      <c r="N146" s="162">
        <v>0</v>
      </c>
      <c r="O146" s="162">
        <v>0</v>
      </c>
      <c r="P146" s="162">
        <v>0</v>
      </c>
      <c r="Q146" s="163">
        <v>0</v>
      </c>
    </row>
    <row r="147" spans="2:17" outlineLevel="1" x14ac:dyDescent="0.25">
      <c r="B147" s="160" t="s">
        <v>1329</v>
      </c>
      <c r="C147" s="164" t="s">
        <v>11</v>
      </c>
      <c r="D147" s="9"/>
      <c r="E147" s="9"/>
      <c r="F147" s="9"/>
      <c r="G147" s="161">
        <v>450000000000</v>
      </c>
      <c r="H147" s="162">
        <v>0</v>
      </c>
      <c r="I147" s="162">
        <v>0</v>
      </c>
      <c r="J147" s="162">
        <v>0</v>
      </c>
      <c r="K147" s="162">
        <v>0</v>
      </c>
      <c r="L147" s="162">
        <v>0</v>
      </c>
      <c r="M147" s="162">
        <v>0</v>
      </c>
      <c r="N147" s="162">
        <v>0</v>
      </c>
      <c r="O147" s="162">
        <v>0</v>
      </c>
      <c r="P147" s="162">
        <v>0</v>
      </c>
      <c r="Q147" s="163">
        <v>0</v>
      </c>
    </row>
    <row r="148" spans="2:17" s="16" customFormat="1" outlineLevel="1" x14ac:dyDescent="0.25">
      <c r="B148" s="166" t="s">
        <v>1176</v>
      </c>
      <c r="C148" s="136" t="s">
        <v>11</v>
      </c>
      <c r="D148" s="12"/>
      <c r="E148" s="12"/>
      <c r="F148" s="9"/>
      <c r="G148" s="153">
        <v>412532215019.46698</v>
      </c>
      <c r="H148" s="134">
        <v>-22753166508.773598</v>
      </c>
      <c r="I148" s="134">
        <v>42055587119.166611</v>
      </c>
      <c r="J148" s="134">
        <v>64539632290.958015</v>
      </c>
      <c r="K148" s="134">
        <v>89651993123.953918</v>
      </c>
      <c r="L148" s="134">
        <v>112730955812.05266</v>
      </c>
      <c r="M148" s="134">
        <v>92465386560.66243</v>
      </c>
      <c r="N148" s="134">
        <v>96300179975.945053</v>
      </c>
      <c r="O148" s="134">
        <v>100203681796.4339</v>
      </c>
      <c r="P148" s="134">
        <v>104178408003.23631</v>
      </c>
      <c r="Q148" s="135">
        <v>108308105739.69008</v>
      </c>
    </row>
    <row r="149" spans="2:17" outlineLevel="1" x14ac:dyDescent="0.25">
      <c r="B149" s="160" t="s">
        <v>1177</v>
      </c>
      <c r="C149" s="164" t="s">
        <v>11</v>
      </c>
      <c r="D149" s="9"/>
      <c r="E149" s="9"/>
      <c r="F149" s="9"/>
      <c r="G149" s="161">
        <v>39587220947</v>
      </c>
      <c r="H149" s="162">
        <v>452119435966.46698</v>
      </c>
      <c r="I149" s="162">
        <v>429366269457.69336</v>
      </c>
      <c r="J149" s="162">
        <v>471421856576.85999</v>
      </c>
      <c r="K149" s="162">
        <v>535961488867.81799</v>
      </c>
      <c r="L149" s="162">
        <v>625613481991.77197</v>
      </c>
      <c r="M149" s="162">
        <v>738344437803.82458</v>
      </c>
      <c r="N149" s="162">
        <v>830809824364.48706</v>
      </c>
      <c r="O149" s="162">
        <v>927110004340.43213</v>
      </c>
      <c r="P149" s="162">
        <v>1027313686136.866</v>
      </c>
      <c r="Q149" s="163">
        <v>1131492094140.1023</v>
      </c>
    </row>
    <row r="150" spans="2:17" s="16" customFormat="1" outlineLevel="1" x14ac:dyDescent="0.25">
      <c r="B150" s="166" t="s">
        <v>1178</v>
      </c>
      <c r="C150" s="136" t="s">
        <v>11</v>
      </c>
      <c r="D150" s="12"/>
      <c r="E150" s="12"/>
      <c r="F150" s="9"/>
      <c r="G150" s="153">
        <v>452119435966.46698</v>
      </c>
      <c r="H150" s="134">
        <v>429366269457.69336</v>
      </c>
      <c r="I150" s="134">
        <v>471421856576.85999</v>
      </c>
      <c r="J150" s="134">
        <v>535961488867.81799</v>
      </c>
      <c r="K150" s="134">
        <v>625613481991.77197</v>
      </c>
      <c r="L150" s="134">
        <v>738344437803.82458</v>
      </c>
      <c r="M150" s="134">
        <v>830809824364.48706</v>
      </c>
      <c r="N150" s="134">
        <v>927110004340.43213</v>
      </c>
      <c r="O150" s="134">
        <v>1027313686136.866</v>
      </c>
      <c r="P150" s="134">
        <v>1131492094140.1023</v>
      </c>
      <c r="Q150" s="135">
        <v>1239800199879.7925</v>
      </c>
    </row>
    <row r="151" spans="2:17" x14ac:dyDescent="0.25">
      <c r="B151" s="108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</row>
    <row r="152" spans="2:17" s="260" customFormat="1" x14ac:dyDescent="0.25">
      <c r="B152" s="168" t="s">
        <v>1310</v>
      </c>
      <c r="C152" s="169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1"/>
    </row>
    <row r="153" spans="2:17" outlineLevel="1" x14ac:dyDescent="0.25"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</row>
    <row r="154" spans="2:17" outlineLevel="1" x14ac:dyDescent="0.25">
      <c r="B154" s="198" t="s">
        <v>1311</v>
      </c>
      <c r="C154" s="198" t="s">
        <v>11</v>
      </c>
      <c r="D154" s="9"/>
      <c r="E154" s="9"/>
      <c r="F154" s="9"/>
      <c r="G154" s="201">
        <v>-37467784980.53302</v>
      </c>
      <c r="H154" s="202">
        <v>-22753166508.773598</v>
      </c>
      <c r="I154" s="202">
        <v>42055587119.166611</v>
      </c>
      <c r="J154" s="202">
        <v>64539632290.958015</v>
      </c>
      <c r="K154" s="202">
        <v>89651993123.953918</v>
      </c>
      <c r="L154" s="202">
        <v>112730955812.05266</v>
      </c>
      <c r="M154" s="202">
        <v>92465386560.66243</v>
      </c>
      <c r="N154" s="202">
        <v>96300179975.945053</v>
      </c>
      <c r="O154" s="202">
        <v>100203681796.4339</v>
      </c>
      <c r="P154" s="202">
        <v>104178408003.23631</v>
      </c>
      <c r="Q154" s="203">
        <v>630773274527.6488</v>
      </c>
    </row>
    <row r="155" spans="2:17" outlineLevel="1" x14ac:dyDescent="0.25">
      <c r="B155" s="167" t="s">
        <v>1312</v>
      </c>
      <c r="C155" s="167" t="s">
        <v>11</v>
      </c>
      <c r="D155" s="9"/>
      <c r="E155" s="9"/>
      <c r="F155" s="9"/>
      <c r="G155" s="204">
        <v>0</v>
      </c>
      <c r="H155" s="205">
        <v>1</v>
      </c>
      <c r="I155" s="205">
        <v>2</v>
      </c>
      <c r="J155" s="205">
        <v>3</v>
      </c>
      <c r="K155" s="205">
        <v>4</v>
      </c>
      <c r="L155" s="205">
        <v>5</v>
      </c>
      <c r="M155" s="205">
        <v>6</v>
      </c>
      <c r="N155" s="205">
        <v>7</v>
      </c>
      <c r="O155" s="205">
        <v>8</v>
      </c>
      <c r="P155" s="205">
        <v>9</v>
      </c>
      <c r="Q155" s="206">
        <v>10</v>
      </c>
    </row>
    <row r="156" spans="2:17" outlineLevel="1" x14ac:dyDescent="0.25">
      <c r="B156" s="167" t="s">
        <v>1313</v>
      </c>
      <c r="C156" s="167" t="s">
        <v>11</v>
      </c>
      <c r="D156" s="9"/>
      <c r="E156" s="9"/>
      <c r="F156" s="9"/>
      <c r="G156" s="151">
        <v>-37467784980.53302</v>
      </c>
      <c r="H156" s="146">
        <v>-19418821428.596329</v>
      </c>
      <c r="I156" s="146">
        <v>30632733064.236717</v>
      </c>
      <c r="J156" s="146">
        <v>40120797387.009491</v>
      </c>
      <c r="K156" s="146">
        <v>47564621085.431175</v>
      </c>
      <c r="L156" s="146">
        <v>51044423656.218597</v>
      </c>
      <c r="M156" s="146">
        <v>35732658430.563362</v>
      </c>
      <c r="N156" s="146">
        <v>31761006755.482296</v>
      </c>
      <c r="O156" s="146">
        <v>28205374052.905495</v>
      </c>
      <c r="P156" s="146">
        <v>25026892260.551922</v>
      </c>
      <c r="Q156" s="147">
        <v>129325306041.94296</v>
      </c>
    </row>
    <row r="157" spans="2:17" s="16" customFormat="1" outlineLevel="1" x14ac:dyDescent="0.25">
      <c r="B157" s="136" t="s">
        <v>1324</v>
      </c>
      <c r="C157" s="136" t="s">
        <v>11</v>
      </c>
      <c r="D157" s="12"/>
      <c r="E157" s="12"/>
      <c r="F157" s="12"/>
      <c r="G157" s="207">
        <v>233201900283.26968</v>
      </c>
      <c r="H157" s="12"/>
      <c r="I157" s="12"/>
      <c r="J157" s="12"/>
      <c r="K157" s="12"/>
      <c r="L157" s="12"/>
      <c r="M157" s="12"/>
      <c r="N157" s="12"/>
      <c r="O157" s="12"/>
      <c r="P157" s="12"/>
      <c r="Q157" s="12"/>
    </row>
    <row r="158" spans="2:17" s="16" customFormat="1" outlineLevel="1" x14ac:dyDescent="0.25">
      <c r="B158" s="136" t="s">
        <v>1325</v>
      </c>
      <c r="C158" s="136" t="s">
        <v>11</v>
      </c>
      <c r="D158" s="12"/>
      <c r="E158" s="12"/>
      <c r="F158" s="12"/>
      <c r="G158" s="207">
        <v>129325306041.94296</v>
      </c>
      <c r="H158" s="12"/>
      <c r="I158" s="12"/>
      <c r="J158" s="12"/>
      <c r="K158" s="12"/>
      <c r="L158" s="12"/>
      <c r="M158" s="12"/>
      <c r="N158" s="12"/>
      <c r="O158" s="12"/>
      <c r="P158" s="12"/>
      <c r="Q158" s="12"/>
    </row>
    <row r="159" spans="2:17" outlineLevel="1" x14ac:dyDescent="0.25"/>
    <row r="160" spans="2:17" s="16" customFormat="1" outlineLevel="1" x14ac:dyDescent="0.25">
      <c r="B160" s="136" t="s">
        <v>1314</v>
      </c>
      <c r="C160" s="136" t="s">
        <v>11</v>
      </c>
      <c r="D160" s="12"/>
      <c r="E160" s="12"/>
      <c r="F160" s="12"/>
      <c r="G160" s="207">
        <v>362527206325.21265</v>
      </c>
      <c r="H160" s="12"/>
      <c r="I160" s="12"/>
      <c r="J160" s="12"/>
      <c r="K160" s="12"/>
      <c r="L160" s="12"/>
      <c r="M160" s="12"/>
      <c r="N160" s="12"/>
      <c r="O160" s="12"/>
      <c r="P160" s="12"/>
      <c r="Q160" s="12"/>
    </row>
    <row r="161" spans="2:17" outlineLevel="1" x14ac:dyDescent="0.25">
      <c r="B161" s="164" t="s">
        <v>1336</v>
      </c>
      <c r="C161" s="164" t="s">
        <v>1336</v>
      </c>
      <c r="D161" s="9"/>
      <c r="E161" s="9"/>
      <c r="F161" s="9"/>
      <c r="G161" s="275">
        <v>81852</v>
      </c>
      <c r="H161" s="9"/>
      <c r="I161" s="9"/>
      <c r="J161" s="9"/>
      <c r="K161" s="9"/>
      <c r="L161" s="9"/>
      <c r="M161" s="9"/>
      <c r="N161" s="9"/>
      <c r="O161" s="9"/>
      <c r="P161" s="9"/>
      <c r="Q161" s="9"/>
    </row>
    <row r="162" spans="2:17" outlineLevel="1" x14ac:dyDescent="0.25">
      <c r="B162" s="136" t="s">
        <v>1337</v>
      </c>
      <c r="C162" s="136" t="s">
        <v>5</v>
      </c>
      <c r="D162" s="12"/>
      <c r="E162" s="12"/>
      <c r="F162" s="12"/>
      <c r="G162" s="224">
        <v>4429057.4002493853</v>
      </c>
    </row>
    <row r="163" spans="2:17" outlineLevel="1" x14ac:dyDescent="0.25"/>
    <row r="164" spans="2:17" outlineLevel="1" x14ac:dyDescent="0.25">
      <c r="B164" s="198" t="s">
        <v>1315</v>
      </c>
      <c r="C164" s="198" t="s">
        <v>11</v>
      </c>
      <c r="D164" s="9"/>
      <c r="E164" s="9"/>
      <c r="F164" s="9"/>
      <c r="G164" s="299">
        <v>-238784473206.29163</v>
      </c>
      <c r="H164" s="9"/>
      <c r="I164" s="9"/>
      <c r="J164" s="9"/>
      <c r="K164" s="9"/>
      <c r="L164" s="9"/>
      <c r="M164" s="9"/>
      <c r="N164" s="9"/>
      <c r="O164" s="9"/>
      <c r="P164" s="9"/>
      <c r="Q164" s="9"/>
    </row>
    <row r="165" spans="2:17" outlineLevel="1" x14ac:dyDescent="0.25">
      <c r="B165" s="198" t="s">
        <v>1315</v>
      </c>
      <c r="C165" s="198" t="s">
        <v>11</v>
      </c>
      <c r="D165" s="9"/>
      <c r="E165" s="9"/>
      <c r="F165" s="9"/>
      <c r="G165" s="199">
        <v>-4908685618.291626</v>
      </c>
      <c r="H165" s="9"/>
      <c r="I165" s="9"/>
      <c r="J165" s="9"/>
      <c r="K165" s="9"/>
      <c r="L165" s="9"/>
      <c r="M165" s="9"/>
      <c r="N165" s="9"/>
      <c r="O165" s="9"/>
      <c r="P165" s="9"/>
      <c r="Q165" s="9"/>
    </row>
    <row r="166" spans="2:17" outlineLevel="1" x14ac:dyDescent="0.25">
      <c r="B166" s="198" t="s">
        <v>1513</v>
      </c>
      <c r="C166" s="198" t="s">
        <v>11</v>
      </c>
      <c r="D166" s="9"/>
      <c r="E166" s="9"/>
      <c r="F166" s="9"/>
      <c r="G166" s="199">
        <v>751515308956.07019</v>
      </c>
      <c r="H166" s="9"/>
      <c r="I166" s="9"/>
      <c r="J166" s="9"/>
      <c r="K166" s="9"/>
      <c r="L166" s="9"/>
      <c r="M166" s="9"/>
      <c r="N166" s="9"/>
      <c r="O166" s="9"/>
      <c r="P166" s="9"/>
      <c r="Q166" s="9"/>
    </row>
    <row r="167" spans="2:17" outlineLevel="1" x14ac:dyDescent="0.25">
      <c r="B167" s="198" t="s">
        <v>1514</v>
      </c>
      <c r="C167" s="198" t="s">
        <v>11</v>
      </c>
      <c r="D167" s="9"/>
      <c r="E167" s="9"/>
      <c r="F167" s="9"/>
      <c r="G167" s="199">
        <v>756423994574.36182</v>
      </c>
      <c r="H167" s="9"/>
      <c r="I167" s="9"/>
      <c r="J167" s="9"/>
      <c r="K167" s="9"/>
      <c r="L167" s="9"/>
      <c r="M167" s="9"/>
      <c r="N167" s="9"/>
      <c r="O167" s="9"/>
      <c r="P167" s="9"/>
      <c r="Q167" s="9"/>
    </row>
    <row r="168" spans="2:17" outlineLevel="1" x14ac:dyDescent="0.25">
      <c r="B168" s="301" t="s">
        <v>846</v>
      </c>
      <c r="C168" s="301"/>
      <c r="D168" s="112"/>
      <c r="E168" s="112"/>
      <c r="F168" s="112"/>
      <c r="G168" s="302">
        <v>-233875787588</v>
      </c>
      <c r="H168" s="9"/>
      <c r="I168" s="9"/>
      <c r="J168" s="9"/>
      <c r="K168" s="9"/>
      <c r="L168" s="9"/>
      <c r="M168" s="9"/>
      <c r="N168" s="9"/>
      <c r="O168" s="9"/>
      <c r="P168" s="9"/>
      <c r="Q168" s="9"/>
    </row>
    <row r="169" spans="2:17" outlineLevel="1" x14ac:dyDescent="0.25">
      <c r="D169" s="9"/>
      <c r="E169" s="9"/>
      <c r="F169" s="9"/>
      <c r="G169" s="300"/>
      <c r="H169" s="9"/>
      <c r="I169" s="9"/>
      <c r="J169" s="9"/>
      <c r="K169" s="9"/>
      <c r="L169" s="9"/>
      <c r="M169" s="9"/>
      <c r="N169" s="9"/>
      <c r="O169" s="9"/>
      <c r="P169" s="9"/>
      <c r="Q169" s="9"/>
    </row>
    <row r="170" spans="2:17" s="16" customFormat="1" outlineLevel="1" x14ac:dyDescent="0.25">
      <c r="B170" s="225" t="s">
        <v>1338</v>
      </c>
      <c r="C170" s="225" t="s">
        <v>11</v>
      </c>
      <c r="D170" s="12"/>
      <c r="E170" s="12"/>
      <c r="F170" s="12"/>
      <c r="G170" s="207">
        <v>123742733118.92102</v>
      </c>
      <c r="H170" s="12"/>
      <c r="I170" s="12"/>
      <c r="J170" s="12"/>
      <c r="K170" s="12"/>
      <c r="L170" s="12"/>
      <c r="M170" s="12"/>
      <c r="N170" s="12"/>
      <c r="O170" s="12"/>
      <c r="P170" s="12"/>
      <c r="Q170" s="12"/>
    </row>
    <row r="171" spans="2:17" outlineLevel="1" x14ac:dyDescent="0.25">
      <c r="B171" s="164" t="s">
        <v>1336</v>
      </c>
      <c r="C171" s="164" t="s">
        <v>1336</v>
      </c>
      <c r="D171" s="9"/>
      <c r="E171" s="9"/>
      <c r="F171" s="9"/>
      <c r="G171" s="275">
        <v>81852</v>
      </c>
      <c r="H171" s="9"/>
      <c r="I171" s="9"/>
      <c r="J171" s="9"/>
      <c r="K171" s="9"/>
      <c r="L171" s="9"/>
      <c r="M171" s="9"/>
      <c r="N171" s="9"/>
      <c r="O171" s="9"/>
      <c r="P171" s="9"/>
      <c r="Q171" s="9"/>
    </row>
    <row r="172" spans="2:17" outlineLevel="1" x14ac:dyDescent="0.25">
      <c r="B172" s="136" t="s">
        <v>1337</v>
      </c>
      <c r="C172" s="136" t="s">
        <v>5</v>
      </c>
      <c r="D172" s="12"/>
      <c r="E172" s="12"/>
      <c r="F172" s="12"/>
      <c r="G172" s="224">
        <v>1511786.3108894227</v>
      </c>
    </row>
    <row r="173" spans="2:17" outlineLevel="1" x14ac:dyDescent="0.25">
      <c r="B173" s="229"/>
      <c r="C173" s="229"/>
      <c r="D173" s="9"/>
      <c r="E173" s="9"/>
      <c r="F173" s="9"/>
      <c r="G173" s="230"/>
      <c r="H173" s="9"/>
      <c r="I173" s="9"/>
      <c r="J173" s="9"/>
      <c r="K173" s="9"/>
      <c r="L173" s="9"/>
      <c r="M173" s="9"/>
      <c r="N173" s="9"/>
      <c r="O173" s="9"/>
      <c r="P173" s="9"/>
      <c r="Q173" s="9"/>
    </row>
    <row r="174" spans="2:17" s="16" customFormat="1" outlineLevel="1" x14ac:dyDescent="0.25">
      <c r="B174" s="136" t="s">
        <v>1316</v>
      </c>
      <c r="C174" s="136" t="s">
        <v>11</v>
      </c>
      <c r="D174" s="12"/>
      <c r="E174" s="12"/>
      <c r="F174" s="12"/>
      <c r="G174" s="207">
        <v>233875787588</v>
      </c>
      <c r="H174" s="12"/>
      <c r="I174" s="12"/>
      <c r="J174" s="12"/>
      <c r="K174" s="12"/>
      <c r="L174" s="12"/>
      <c r="M174" s="12"/>
      <c r="N174" s="12"/>
      <c r="O174" s="12"/>
      <c r="P174" s="12"/>
      <c r="Q174" s="12"/>
    </row>
    <row r="175" spans="2:17" outlineLevel="1" x14ac:dyDescent="0.25">
      <c r="B175" s="165" t="s">
        <v>1339</v>
      </c>
      <c r="C175" s="165"/>
      <c r="D175" s="9"/>
      <c r="E175" s="9"/>
      <c r="F175" s="9"/>
      <c r="G175" s="226">
        <v>154701.61748614119</v>
      </c>
      <c r="H175" s="9"/>
      <c r="I175" s="9"/>
      <c r="J175" s="9"/>
      <c r="K175" s="9"/>
      <c r="L175" s="9"/>
      <c r="M175" s="9"/>
      <c r="N175" s="9"/>
      <c r="O175" s="9"/>
      <c r="P175" s="9"/>
      <c r="Q175" s="9"/>
    </row>
    <row r="176" spans="2:17" outlineLevel="1" x14ac:dyDescent="0.25">
      <c r="B176" s="227"/>
      <c r="C176" s="227"/>
      <c r="D176" s="9"/>
      <c r="E176" s="9"/>
      <c r="F176" s="9"/>
      <c r="G176" s="228"/>
      <c r="H176" s="9"/>
      <c r="I176" s="9"/>
      <c r="J176" s="9"/>
      <c r="K176" s="9"/>
      <c r="L176" s="9"/>
      <c r="M176" s="9"/>
      <c r="N176" s="9"/>
      <c r="O176" s="9"/>
      <c r="P176" s="9"/>
      <c r="Q176" s="9"/>
    </row>
    <row r="177" spans="2:17" s="16" customFormat="1" outlineLevel="1" x14ac:dyDescent="0.25">
      <c r="B177" s="208" t="s">
        <v>1333</v>
      </c>
      <c r="C177" s="208" t="s">
        <v>11</v>
      </c>
      <c r="D177" s="12"/>
      <c r="E177" s="12"/>
      <c r="F177" s="12"/>
      <c r="G177" s="277">
        <v>450000000000</v>
      </c>
      <c r="H177" s="12"/>
      <c r="I177" s="12"/>
      <c r="J177" s="12"/>
      <c r="K177" s="12"/>
      <c r="L177" s="12"/>
      <c r="M177" s="12"/>
      <c r="N177" s="12"/>
      <c r="O177" s="12"/>
      <c r="P177" s="12"/>
      <c r="Q177" s="12"/>
    </row>
    <row r="178" spans="2:17" outlineLevel="1" x14ac:dyDescent="0.25">
      <c r="B178" s="165" t="s">
        <v>1339</v>
      </c>
      <c r="C178" s="165"/>
      <c r="D178" s="9"/>
      <c r="E178" s="9"/>
      <c r="F178" s="9"/>
      <c r="G178" s="226">
        <v>297661.11570044147</v>
      </c>
      <c r="H178" s="9"/>
      <c r="I178" s="9"/>
      <c r="J178" s="9"/>
      <c r="K178" s="9"/>
      <c r="L178" s="9"/>
      <c r="M178" s="9"/>
      <c r="N178" s="9"/>
      <c r="O178" s="9"/>
      <c r="P178" s="9"/>
      <c r="Q178" s="9"/>
    </row>
    <row r="179" spans="2:17" outlineLevel="1" x14ac:dyDescent="0.25">
      <c r="D179" s="9"/>
      <c r="E179" s="9"/>
      <c r="F179" s="9"/>
      <c r="G179" s="8"/>
      <c r="H179" s="9"/>
      <c r="I179" s="9"/>
      <c r="J179" s="9"/>
      <c r="K179" s="9"/>
      <c r="L179" s="9"/>
      <c r="M179" s="9"/>
      <c r="N179" s="9"/>
      <c r="O179" s="9"/>
      <c r="P179" s="9"/>
      <c r="Q179" s="9"/>
    </row>
    <row r="180" spans="2:17" s="16" customFormat="1" outlineLevel="1" x14ac:dyDescent="0.25">
      <c r="B180" s="136" t="s">
        <v>1317</v>
      </c>
      <c r="C180" s="136" t="s">
        <v>11</v>
      </c>
      <c r="D180" s="12"/>
      <c r="E180" s="12"/>
      <c r="F180" s="12"/>
      <c r="G180" s="207">
        <v>807618520706.92102</v>
      </c>
      <c r="H180" s="12"/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2:17" outlineLevel="1" x14ac:dyDescent="0.25">
      <c r="B181" s="165" t="s">
        <v>1339</v>
      </c>
      <c r="C181" s="165"/>
      <c r="D181" s="9"/>
      <c r="E181" s="9"/>
      <c r="F181" s="9"/>
      <c r="G181" s="226">
        <v>534214.73318658269</v>
      </c>
      <c r="H181" s="9"/>
      <c r="I181" s="9"/>
      <c r="J181" s="9"/>
      <c r="K181" s="9"/>
      <c r="L181" s="9"/>
      <c r="M181" s="9"/>
      <c r="N181" s="9"/>
      <c r="O181" s="9"/>
      <c r="P181" s="9"/>
      <c r="Q181" s="9"/>
    </row>
    <row r="182" spans="2:17" x14ac:dyDescent="0.25"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2:17" s="260" customFormat="1" x14ac:dyDescent="0.25">
      <c r="B183" s="168" t="s">
        <v>1318</v>
      </c>
      <c r="C183" s="169"/>
      <c r="D183" s="170"/>
      <c r="E183" s="170"/>
      <c r="F183" s="170"/>
      <c r="G183" s="170"/>
      <c r="H183" s="170"/>
      <c r="I183" s="170"/>
      <c r="J183" s="170"/>
      <c r="K183" s="170"/>
      <c r="L183" s="170"/>
      <c r="M183" s="170"/>
      <c r="N183" s="170"/>
      <c r="O183" s="170"/>
      <c r="P183" s="170"/>
      <c r="Q183" s="171"/>
    </row>
    <row r="184" spans="2:17" outlineLevel="1" x14ac:dyDescent="0.25"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2:17" outlineLevel="1" x14ac:dyDescent="0.25">
      <c r="B185" s="211" t="s">
        <v>1179</v>
      </c>
      <c r="C185" s="211" t="s">
        <v>1321</v>
      </c>
      <c r="D185" s="212" t="s">
        <v>1099</v>
      </c>
      <c r="E185" s="212" t="s">
        <v>1100</v>
      </c>
      <c r="F185" s="212" t="s">
        <v>1101</v>
      </c>
      <c r="G185" s="212" t="s">
        <v>1102</v>
      </c>
      <c r="H185" s="212" t="s">
        <v>1103</v>
      </c>
      <c r="I185" s="212" t="s">
        <v>1104</v>
      </c>
      <c r="J185" s="212" t="s">
        <v>1105</v>
      </c>
      <c r="K185" s="212" t="s">
        <v>1106</v>
      </c>
      <c r="L185" s="212" t="s">
        <v>1107</v>
      </c>
      <c r="M185" s="212" t="s">
        <v>1108</v>
      </c>
      <c r="N185" s="212" t="s">
        <v>1346</v>
      </c>
      <c r="O185" s="212" t="s">
        <v>1347</v>
      </c>
      <c r="P185" s="212" t="s">
        <v>1348</v>
      </c>
      <c r="Q185" s="212" t="s">
        <v>1349</v>
      </c>
    </row>
    <row r="186" spans="2:17" outlineLevel="1" x14ac:dyDescent="0.25">
      <c r="B186" s="215" t="s">
        <v>1079</v>
      </c>
      <c r="C186" s="198" t="s">
        <v>11</v>
      </c>
      <c r="D186" s="213">
        <v>1190425478954</v>
      </c>
      <c r="E186" s="202">
        <v>1349953464576</v>
      </c>
      <c r="F186" s="202">
        <v>1444415524848</v>
      </c>
      <c r="G186" s="202">
        <v>1472940849747.272</v>
      </c>
      <c r="H186" s="202">
        <v>1532116355922.804</v>
      </c>
      <c r="I186" s="202">
        <v>1593668750244.5151</v>
      </c>
      <c r="J186" s="202">
        <v>1657694248290.271</v>
      </c>
      <c r="K186" s="202">
        <v>1724292010390.7253</v>
      </c>
      <c r="L186" s="202">
        <v>1793565159113.97</v>
      </c>
      <c r="M186" s="202">
        <v>1865622001255.1182</v>
      </c>
      <c r="N186" s="202">
        <v>1940573073235.1858</v>
      </c>
      <c r="O186" s="202">
        <v>2018535499540.3579</v>
      </c>
      <c r="P186" s="202">
        <v>2099630015728.5498</v>
      </c>
      <c r="Q186" s="203">
        <v>2183982181391.3215</v>
      </c>
    </row>
    <row r="187" spans="2:17" outlineLevel="1" x14ac:dyDescent="0.25">
      <c r="B187" s="216" t="s">
        <v>1080</v>
      </c>
      <c r="C187" s="167" t="s">
        <v>11</v>
      </c>
      <c r="D187" s="148">
        <v>1258660361437</v>
      </c>
      <c r="E187" s="143">
        <v>1415181059075</v>
      </c>
      <c r="F187" s="143">
        <v>1799539968307</v>
      </c>
      <c r="G187" s="143">
        <v>1503030617912.1404</v>
      </c>
      <c r="H187" s="143">
        <v>1516762149326.1311</v>
      </c>
      <c r="I187" s="143">
        <v>1545725289910.6943</v>
      </c>
      <c r="J187" s="143">
        <v>1575502368598.7061</v>
      </c>
      <c r="K187" s="143">
        <v>1603403065986.6267</v>
      </c>
      <c r="L187" s="143">
        <v>1667819521194.9468</v>
      </c>
      <c r="M187" s="143">
        <v>1734824506961.9751</v>
      </c>
      <c r="N187" s="143">
        <v>1804520810075.1541</v>
      </c>
      <c r="O187" s="143">
        <v>1877017343502.3103</v>
      </c>
      <c r="P187" s="143">
        <v>1952426378113.2083</v>
      </c>
      <c r="Q187" s="144">
        <v>2030864670601.5276</v>
      </c>
    </row>
    <row r="188" spans="2:17" s="16" customFormat="1" outlineLevel="1" x14ac:dyDescent="0.25">
      <c r="B188" s="217" t="s">
        <v>1109</v>
      </c>
      <c r="C188" s="136" t="s">
        <v>11</v>
      </c>
      <c r="D188" s="137">
        <v>-68234882483</v>
      </c>
      <c r="E188" s="134">
        <v>-65227594499</v>
      </c>
      <c r="F188" s="134">
        <v>-355124443459</v>
      </c>
      <c r="G188" s="134">
        <v>-30089768164.868408</v>
      </c>
      <c r="H188" s="134">
        <v>15354206596.672852</v>
      </c>
      <c r="I188" s="134">
        <v>47943460333.820801</v>
      </c>
      <c r="J188" s="134">
        <v>82191879691.564941</v>
      </c>
      <c r="K188" s="134">
        <v>120888944404.09863</v>
      </c>
      <c r="L188" s="134">
        <v>125745637919.02319</v>
      </c>
      <c r="M188" s="134">
        <v>130797494293.14307</v>
      </c>
      <c r="N188" s="134">
        <v>136052263160.03174</v>
      </c>
      <c r="O188" s="134">
        <v>141518156038.04761</v>
      </c>
      <c r="P188" s="134">
        <v>147203637615.34155</v>
      </c>
      <c r="Q188" s="135">
        <v>153117510789.79395</v>
      </c>
    </row>
    <row r="189" spans="2:17" s="6" customFormat="1" outlineLevel="1" x14ac:dyDescent="0.25">
      <c r="B189" s="218" t="s">
        <v>1110</v>
      </c>
      <c r="C189" s="220" t="s">
        <v>11</v>
      </c>
      <c r="D189" s="219">
        <v>-5.7319742973710924E-2</v>
      </c>
      <c r="E189" s="209">
        <v>-4.8318402234322204E-2</v>
      </c>
      <c r="F189" s="209">
        <v>-0.24586030636604433</v>
      </c>
      <c r="G189" s="209">
        <v>-2.0428361512297814E-2</v>
      </c>
      <c r="H189" s="209">
        <v>1.0021566924285533E-2</v>
      </c>
      <c r="I189" s="209">
        <v>3.0083704864304381E-2</v>
      </c>
      <c r="J189" s="209">
        <v>4.9582050354784551E-2</v>
      </c>
      <c r="K189" s="209">
        <v>7.0109322362808577E-2</v>
      </c>
      <c r="L189" s="209">
        <v>7.0109322362808479E-2</v>
      </c>
      <c r="M189" s="209">
        <v>7.0109322362808535E-2</v>
      </c>
      <c r="N189" s="209">
        <v>7.0109322362808563E-2</v>
      </c>
      <c r="O189" s="209">
        <v>7.0109322362808479E-2</v>
      </c>
      <c r="P189" s="209">
        <v>7.0109322362808493E-2</v>
      </c>
      <c r="Q189" s="210">
        <v>7.0109322362808535E-2</v>
      </c>
    </row>
    <row r="190" spans="2:17" outlineLevel="1" x14ac:dyDescent="0.25">
      <c r="B190" s="216" t="s">
        <v>1083</v>
      </c>
      <c r="C190" s="167" t="s">
        <v>11</v>
      </c>
      <c r="D190" s="148">
        <v>65530159990</v>
      </c>
      <c r="E190" s="143">
        <v>71672195100</v>
      </c>
      <c r="F190" s="143">
        <v>55702955352</v>
      </c>
      <c r="G190" s="143">
        <v>53449527930.584785</v>
      </c>
      <c r="H190" s="143">
        <v>56154456482.249786</v>
      </c>
      <c r="I190" s="143">
        <v>58238336798.972206</v>
      </c>
      <c r="J190" s="143">
        <v>60785388719.122887</v>
      </c>
      <c r="K190" s="143">
        <v>63440013679.676674</v>
      </c>
      <c r="L190" s="143">
        <v>66000261099.839455</v>
      </c>
      <c r="M190" s="143">
        <v>68700139569.0261</v>
      </c>
      <c r="N190" s="143">
        <v>71578335146.777206</v>
      </c>
      <c r="O190" s="143">
        <v>74578566407.634109</v>
      </c>
      <c r="P190" s="143">
        <v>77706062347.880417</v>
      </c>
      <c r="Q190" s="144">
        <v>80966278045.431122</v>
      </c>
    </row>
    <row r="191" spans="2:17" s="16" customFormat="1" outlineLevel="1" x14ac:dyDescent="0.25">
      <c r="B191" s="217" t="s">
        <v>1112</v>
      </c>
      <c r="C191" s="136" t="s">
        <v>11</v>
      </c>
      <c r="D191" s="137">
        <v>-133765042473</v>
      </c>
      <c r="E191" s="134">
        <v>-136899789599</v>
      </c>
      <c r="F191" s="134">
        <v>-410827398811</v>
      </c>
      <c r="G191" s="134">
        <v>-83539296095.453186</v>
      </c>
      <c r="H191" s="134">
        <v>-40800249885.576935</v>
      </c>
      <c r="I191" s="134">
        <v>-10294876465.151405</v>
      </c>
      <c r="J191" s="134">
        <v>21406490972.442055</v>
      </c>
      <c r="K191" s="134">
        <v>57448930724.421959</v>
      </c>
      <c r="L191" s="134">
        <v>59745376819.183739</v>
      </c>
      <c r="M191" s="134">
        <v>62097354724.116966</v>
      </c>
      <c r="N191" s="134">
        <v>64473928013.254532</v>
      </c>
      <c r="O191" s="134">
        <v>66939589630.413498</v>
      </c>
      <c r="P191" s="134">
        <v>69497575267.461136</v>
      </c>
      <c r="Q191" s="135">
        <v>72151232744.362823</v>
      </c>
    </row>
    <row r="192" spans="2:17" s="6" customFormat="1" outlineLevel="1" x14ac:dyDescent="0.25">
      <c r="B192" s="218" t="s">
        <v>1319</v>
      </c>
      <c r="C192" s="220" t="s">
        <v>11</v>
      </c>
      <c r="D192" s="219">
        <v>-0.11236742226866341</v>
      </c>
      <c r="E192" s="209">
        <v>-0.10141074725268263</v>
      </c>
      <c r="F192" s="209">
        <v>-0.28442466294748014</v>
      </c>
      <c r="G192" s="209">
        <v>-5.6715988364221759E-2</v>
      </c>
      <c r="H192" s="209">
        <v>-2.6629994339432968E-2</v>
      </c>
      <c r="I192" s="209">
        <v>-6.4598596562628662E-3</v>
      </c>
      <c r="J192" s="209">
        <v>1.2913413311604654E-2</v>
      </c>
      <c r="K192" s="209">
        <v>3.3317402376297045E-2</v>
      </c>
      <c r="L192" s="209">
        <v>3.3310959747176537E-2</v>
      </c>
      <c r="M192" s="209">
        <v>3.3285067758817316E-2</v>
      </c>
      <c r="N192" s="209">
        <v>3.3224169139772802E-2</v>
      </c>
      <c r="O192" s="209">
        <v>3.3162453494454944E-2</v>
      </c>
      <c r="P192" s="209">
        <v>3.30999151025883E-2</v>
      </c>
      <c r="Q192" s="210">
        <v>3.3036548264509358E-2</v>
      </c>
    </row>
    <row r="193" spans="2:17" outlineLevel="1" x14ac:dyDescent="0.25">
      <c r="B193" s="216" t="s">
        <v>424</v>
      </c>
      <c r="C193" s="167" t="s">
        <v>11</v>
      </c>
      <c r="D193" s="148">
        <v>36232032769</v>
      </c>
      <c r="E193" s="143">
        <v>47113459692</v>
      </c>
      <c r="F193" s="143">
        <v>21241116141</v>
      </c>
      <c r="G193" s="143">
        <v>22830583171.082718</v>
      </c>
      <c r="H193" s="143">
        <v>25133356249.948463</v>
      </c>
      <c r="I193" s="143">
        <v>30874441123.167164</v>
      </c>
      <c r="J193" s="143">
        <v>36703921979.055405</v>
      </c>
      <c r="K193" s="143">
        <v>37891844949.940506</v>
      </c>
      <c r="L193" s="143">
        <v>39179735804.582062</v>
      </c>
      <c r="M193" s="143">
        <v>40506900416.380028</v>
      </c>
      <c r="N193" s="143">
        <v>42005214984.244873</v>
      </c>
      <c r="O193" s="143">
        <v>43692773262.197662</v>
      </c>
      <c r="P193" s="143">
        <v>45448128378.823723</v>
      </c>
      <c r="Q193" s="144">
        <v>47273998329.816658</v>
      </c>
    </row>
    <row r="194" spans="2:17" outlineLevel="1" x14ac:dyDescent="0.25">
      <c r="B194" s="216" t="s">
        <v>608</v>
      </c>
      <c r="C194" s="167" t="s">
        <v>11</v>
      </c>
      <c r="D194" s="148">
        <v>11797174922</v>
      </c>
      <c r="E194" s="143">
        <v>29586405422</v>
      </c>
      <c r="F194" s="143">
        <v>5413823466</v>
      </c>
      <c r="G194" s="143">
        <v>4855000000</v>
      </c>
      <c r="H194" s="143">
        <v>4381125000</v>
      </c>
      <c r="I194" s="143">
        <v>3907464375</v>
      </c>
      <c r="J194" s="143">
        <v>3434025628.125</v>
      </c>
      <c r="K194" s="143">
        <v>2960816525.109375</v>
      </c>
      <c r="L194" s="143">
        <v>2487845103.488203</v>
      </c>
      <c r="M194" s="143">
        <v>2015119682.1102901</v>
      </c>
      <c r="N194" s="143">
        <v>1662648870.9841504</v>
      </c>
      <c r="O194" s="143">
        <v>1550441581.4685955</v>
      </c>
      <c r="P194" s="143">
        <v>1558507036.8199964</v>
      </c>
      <c r="Q194" s="144">
        <v>1566854783.1086962</v>
      </c>
    </row>
    <row r="195" spans="2:17" s="16" customFormat="1" outlineLevel="1" x14ac:dyDescent="0.25">
      <c r="B195" s="217" t="s">
        <v>1113</v>
      </c>
      <c r="C195" s="136" t="s">
        <v>11</v>
      </c>
      <c r="D195" s="137">
        <v>-109330184626</v>
      </c>
      <c r="E195" s="134">
        <v>-119372735329</v>
      </c>
      <c r="F195" s="134">
        <v>-395000106136</v>
      </c>
      <c r="G195" s="134">
        <v>-65563712924.370468</v>
      </c>
      <c r="H195" s="134">
        <v>-20048018635.628471</v>
      </c>
      <c r="I195" s="134">
        <v>16672100283.015759</v>
      </c>
      <c r="J195" s="134">
        <v>54676387323.372459</v>
      </c>
      <c r="K195" s="134">
        <v>92379959149.253082</v>
      </c>
      <c r="L195" s="134">
        <v>96437267520.277603</v>
      </c>
      <c r="M195" s="134">
        <v>100589135458.3867</v>
      </c>
      <c r="N195" s="134">
        <v>104816494126.51526</v>
      </c>
      <c r="O195" s="134">
        <v>109081921311.14256</v>
      </c>
      <c r="P195" s="134">
        <v>113387196609.46486</v>
      </c>
      <c r="Q195" s="135">
        <v>117858376291.07077</v>
      </c>
    </row>
    <row r="196" spans="2:17" outlineLevel="1" x14ac:dyDescent="0.25">
      <c r="B196" s="216" t="s">
        <v>1161</v>
      </c>
      <c r="C196" s="164" t="s">
        <v>11</v>
      </c>
      <c r="D196" s="148">
        <v>0</v>
      </c>
      <c r="E196" s="143">
        <v>0</v>
      </c>
      <c r="F196" s="143">
        <v>0</v>
      </c>
      <c r="G196" s="143">
        <v>0</v>
      </c>
      <c r="H196" s="143">
        <v>0</v>
      </c>
      <c r="I196" s="143">
        <v>5835235099.0555153</v>
      </c>
      <c r="J196" s="143">
        <v>19136735563.180359</v>
      </c>
      <c r="K196" s="143">
        <v>32332985702.238575</v>
      </c>
      <c r="L196" s="143">
        <v>33753043632.09716</v>
      </c>
      <c r="M196" s="143">
        <v>35206197410.435341</v>
      </c>
      <c r="N196" s="143">
        <v>36685772944.280334</v>
      </c>
      <c r="O196" s="143">
        <v>38178672458.899895</v>
      </c>
      <c r="P196" s="143">
        <v>39685518813.312698</v>
      </c>
      <c r="Q196" s="144">
        <v>41250431701.874763</v>
      </c>
    </row>
    <row r="197" spans="2:17" s="16" customFormat="1" outlineLevel="1" x14ac:dyDescent="0.25">
      <c r="B197" s="217" t="s">
        <v>1162</v>
      </c>
      <c r="C197" s="208" t="s">
        <v>11</v>
      </c>
      <c r="D197" s="137">
        <v>-109330184626</v>
      </c>
      <c r="E197" s="134">
        <v>-119372735329</v>
      </c>
      <c r="F197" s="134">
        <v>-395000106136</v>
      </c>
      <c r="G197" s="134">
        <v>-65563712924.370468</v>
      </c>
      <c r="H197" s="134">
        <v>-20048018635.628471</v>
      </c>
      <c r="I197" s="134">
        <v>10836865183.960243</v>
      </c>
      <c r="J197" s="134">
        <v>35539651760.192101</v>
      </c>
      <c r="K197" s="134">
        <v>60046973447.014511</v>
      </c>
      <c r="L197" s="134">
        <v>62684223888.180443</v>
      </c>
      <c r="M197" s="134">
        <v>65382938047.951363</v>
      </c>
      <c r="N197" s="134">
        <v>68130721182.234924</v>
      </c>
      <c r="O197" s="134">
        <v>70903248852.242676</v>
      </c>
      <c r="P197" s="134">
        <v>73701677796.152161</v>
      </c>
      <c r="Q197" s="135">
        <v>76607944589.196014</v>
      </c>
    </row>
    <row r="198" spans="2:17" outlineLevel="1" x14ac:dyDescent="0.25"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</row>
    <row r="199" spans="2:17" outlineLevel="1" x14ac:dyDescent="0.25">
      <c r="B199" s="211" t="s">
        <v>1350</v>
      </c>
      <c r="C199" s="211" t="s">
        <v>1321</v>
      </c>
      <c r="D199" s="212" t="s">
        <v>1099</v>
      </c>
      <c r="E199" s="212" t="s">
        <v>1100</v>
      </c>
      <c r="F199" s="212" t="s">
        <v>1101</v>
      </c>
      <c r="G199" s="212" t="s">
        <v>1102</v>
      </c>
      <c r="H199" s="212" t="s">
        <v>1103</v>
      </c>
      <c r="I199" s="212" t="s">
        <v>1104</v>
      </c>
      <c r="J199" s="212" t="s">
        <v>1105</v>
      </c>
      <c r="K199" s="212" t="s">
        <v>1106</v>
      </c>
      <c r="L199" s="212" t="s">
        <v>1107</v>
      </c>
      <c r="M199" s="212" t="s">
        <v>1108</v>
      </c>
      <c r="N199" s="212" t="s">
        <v>1346</v>
      </c>
      <c r="O199" s="212" t="s">
        <v>1347</v>
      </c>
      <c r="P199" s="212" t="s">
        <v>1348</v>
      </c>
      <c r="Q199" s="212" t="s">
        <v>1349</v>
      </c>
    </row>
    <row r="200" spans="2:17" outlineLevel="1" x14ac:dyDescent="0.25">
      <c r="B200" s="215" t="s">
        <v>1079</v>
      </c>
      <c r="C200" s="198" t="s">
        <v>12</v>
      </c>
      <c r="D200" s="213"/>
      <c r="E200" s="232">
        <v>0.1340092164040152</v>
      </c>
      <c r="F200" s="232">
        <v>6.9974308560087461E-2</v>
      </c>
      <c r="G200" s="232">
        <v>1.9748697247126135E-2</v>
      </c>
      <c r="H200" s="232">
        <v>4.0175073008319018E-2</v>
      </c>
      <c r="I200" s="232">
        <v>4.0174751795948094E-2</v>
      </c>
      <c r="J200" s="232">
        <v>4.01749096453905E-2</v>
      </c>
      <c r="K200" s="232">
        <v>4.0174937066435934E-2</v>
      </c>
      <c r="L200" s="232">
        <v>4.0174835994019054E-2</v>
      </c>
      <c r="M200" s="232">
        <v>4.0175201762251422E-2</v>
      </c>
      <c r="N200" s="232">
        <v>4.017484352652545E-2</v>
      </c>
      <c r="O200" s="232">
        <v>4.0174950060086534E-2</v>
      </c>
      <c r="P200" s="232">
        <v>4.0174926924326115E-2</v>
      </c>
      <c r="Q200" s="233">
        <v>4.0174776046675298E-2</v>
      </c>
    </row>
    <row r="201" spans="2:17" outlineLevel="1" x14ac:dyDescent="0.25">
      <c r="B201" s="216" t="s">
        <v>1080</v>
      </c>
      <c r="C201" s="167" t="s">
        <v>12</v>
      </c>
      <c r="D201" s="148"/>
      <c r="E201" s="209">
        <v>0.12435499077710044</v>
      </c>
      <c r="F201" s="209">
        <v>0.2715969852530582</v>
      </c>
      <c r="G201" s="209">
        <v>-0.16476952755531982</v>
      </c>
      <c r="H201" s="209">
        <v>9.1358960026144409E-3</v>
      </c>
      <c r="I201" s="209">
        <v>1.90953740488784E-2</v>
      </c>
      <c r="J201" s="209">
        <v>1.9264146664593973E-2</v>
      </c>
      <c r="K201" s="209">
        <v>1.7709079937935135E-2</v>
      </c>
      <c r="L201" s="209">
        <v>4.0174835994019054E-2</v>
      </c>
      <c r="M201" s="209">
        <v>4.01752017622512E-2</v>
      </c>
      <c r="N201" s="209">
        <v>4.017484352652545E-2</v>
      </c>
      <c r="O201" s="209">
        <v>4.0174950060086534E-2</v>
      </c>
      <c r="P201" s="209">
        <v>4.0174926924326115E-2</v>
      </c>
      <c r="Q201" s="210">
        <v>4.0174776046675298E-2</v>
      </c>
    </row>
    <row r="202" spans="2:17" s="16" customFormat="1" outlineLevel="1" x14ac:dyDescent="0.25">
      <c r="B202" s="217" t="s">
        <v>1109</v>
      </c>
      <c r="C202" s="136" t="s">
        <v>12</v>
      </c>
      <c r="D202" s="137"/>
      <c r="E202" s="234">
        <v>-4.40725897747275E-2</v>
      </c>
      <c r="F202" s="234">
        <v>4.4443896971310872</v>
      </c>
      <c r="G202" s="234">
        <v>-0.91526979142357368</v>
      </c>
      <c r="H202" s="234">
        <v>-1.5102799899468751</v>
      </c>
      <c r="I202" s="234">
        <v>2.1224967589149029</v>
      </c>
      <c r="J202" s="234">
        <v>0.71435017663053935</v>
      </c>
      <c r="K202" s="234">
        <v>0.47081372098739127</v>
      </c>
      <c r="L202" s="234">
        <v>4.0174835994017499E-2</v>
      </c>
      <c r="M202" s="234">
        <v>4.0175201762252311E-2</v>
      </c>
      <c r="N202" s="234">
        <v>4.0174843526525894E-2</v>
      </c>
      <c r="O202" s="234">
        <v>4.0174950060085424E-2</v>
      </c>
      <c r="P202" s="234">
        <v>4.0174926924326115E-2</v>
      </c>
      <c r="Q202" s="235">
        <v>4.0174776046675964E-2</v>
      </c>
    </row>
    <row r="203" spans="2:17" s="6" customFormat="1" outlineLevel="1" x14ac:dyDescent="0.25">
      <c r="B203" s="218" t="s">
        <v>1110</v>
      </c>
      <c r="C203" s="220" t="s">
        <v>12</v>
      </c>
      <c r="D203" s="219"/>
      <c r="E203" s="209">
        <v>-0.15703735349122361</v>
      </c>
      <c r="F203" s="209">
        <v>4.0883368447022326</v>
      </c>
      <c r="G203" s="209">
        <v>-0.9169106969146803</v>
      </c>
      <c r="H203" s="209">
        <v>-1.490571254001579</v>
      </c>
      <c r="I203" s="209">
        <v>2.0018963193671571</v>
      </c>
      <c r="J203" s="209">
        <v>0.6481364439130568</v>
      </c>
      <c r="K203" s="209">
        <v>0.41400611433252665</v>
      </c>
      <c r="L203" s="209">
        <v>-1.3322676295501878E-15</v>
      </c>
      <c r="M203" s="209">
        <v>0</v>
      </c>
      <c r="N203" s="209">
        <v>0</v>
      </c>
      <c r="O203" s="209">
        <v>-1.2212453270876722E-15</v>
      </c>
      <c r="P203" s="209">
        <v>0</v>
      </c>
      <c r="Q203" s="210">
        <v>0</v>
      </c>
    </row>
    <row r="204" spans="2:17" outlineLevel="1" x14ac:dyDescent="0.25">
      <c r="B204" s="216" t="s">
        <v>1083</v>
      </c>
      <c r="C204" s="167" t="s">
        <v>12</v>
      </c>
      <c r="D204" s="148"/>
      <c r="E204" s="209">
        <v>9.3728370431833019E-2</v>
      </c>
      <c r="F204" s="209">
        <v>-0.22280941340946869</v>
      </c>
      <c r="G204" s="209">
        <v>-4.0454360225149255E-2</v>
      </c>
      <c r="H204" s="209">
        <v>5.06071551310594E-2</v>
      </c>
      <c r="I204" s="209">
        <v>3.7109794079854153E-2</v>
      </c>
      <c r="J204" s="209">
        <v>4.3734970127025097E-2</v>
      </c>
      <c r="K204" s="209">
        <v>4.3672089896805266E-2</v>
      </c>
      <c r="L204" s="209">
        <v>4.0356980896789629E-2</v>
      </c>
      <c r="M204" s="209">
        <v>4.0907087702312328E-2</v>
      </c>
      <c r="N204" s="209">
        <v>4.1895047023292609E-2</v>
      </c>
      <c r="O204" s="209">
        <v>4.1915354062157073E-2</v>
      </c>
      <c r="P204" s="209">
        <v>4.1935586736166597E-2</v>
      </c>
      <c r="Q204" s="210">
        <v>4.1955744494620362E-2</v>
      </c>
    </row>
    <row r="205" spans="2:17" s="16" customFormat="1" outlineLevel="1" x14ac:dyDescent="0.25">
      <c r="B205" s="217" t="s">
        <v>1112</v>
      </c>
      <c r="C205" s="136" t="s">
        <v>12</v>
      </c>
      <c r="D205" s="137"/>
      <c r="E205" s="234">
        <v>2.3434726054325727E-2</v>
      </c>
      <c r="F205" s="234">
        <v>2.0009352097207382</v>
      </c>
      <c r="G205" s="234">
        <v>-0.7966559768476269</v>
      </c>
      <c r="H205" s="234">
        <v>-0.51160409780137495</v>
      </c>
      <c r="I205" s="234">
        <v>-0.74767614183680065</v>
      </c>
      <c r="J205" s="234">
        <v>-3.0793344189125471</v>
      </c>
      <c r="K205" s="234">
        <v>1.6837154580066227</v>
      </c>
      <c r="L205" s="234">
        <v>3.9973696042797657E-2</v>
      </c>
      <c r="M205" s="234">
        <v>3.936669295854256E-2</v>
      </c>
      <c r="N205" s="234">
        <v>3.8271731536650533E-2</v>
      </c>
      <c r="O205" s="234">
        <v>3.8242770266022408E-2</v>
      </c>
      <c r="P205" s="234">
        <v>3.8213345064867843E-2</v>
      </c>
      <c r="Q205" s="235">
        <v>3.8183454123242422E-2</v>
      </c>
    </row>
    <row r="206" spans="2:17" s="6" customFormat="1" outlineLevel="1" x14ac:dyDescent="0.25">
      <c r="B206" s="218" t="s">
        <v>1319</v>
      </c>
      <c r="C206" s="220" t="s">
        <v>12</v>
      </c>
      <c r="D206" s="219"/>
      <c r="E206" s="209">
        <v>-9.7507576437804722E-2</v>
      </c>
      <c r="F206" s="209">
        <v>1.8046796878321612</v>
      </c>
      <c r="G206" s="209">
        <v>-0.80059398585032504</v>
      </c>
      <c r="H206" s="209">
        <v>-0.53046759639593954</v>
      </c>
      <c r="I206" s="209">
        <v>-0.75742166618874252</v>
      </c>
      <c r="J206" s="209">
        <v>-2.9990238176591086</v>
      </c>
      <c r="K206" s="209">
        <v>1.5800616438379094</v>
      </c>
      <c r="L206" s="209">
        <v>-1.9337129130725383E-4</v>
      </c>
      <c r="M206" s="209">
        <v>-7.7728136792620806E-4</v>
      </c>
      <c r="N206" s="209">
        <v>-1.8296077834596414E-3</v>
      </c>
      <c r="O206" s="209">
        <v>-1.8575527068328546E-3</v>
      </c>
      <c r="P206" s="209">
        <v>-1.885819210484585E-3</v>
      </c>
      <c r="Q206" s="210">
        <v>-1.9144108944855187E-3</v>
      </c>
    </row>
    <row r="207" spans="2:17" outlineLevel="1" x14ac:dyDescent="0.25">
      <c r="B207" s="216" t="s">
        <v>424</v>
      </c>
      <c r="C207" s="167" t="s">
        <v>12</v>
      </c>
      <c r="D207" s="148"/>
      <c r="E207" s="209">
        <v>0.30032615040882038</v>
      </c>
      <c r="F207" s="209">
        <v>-0.54914972749057522</v>
      </c>
      <c r="G207" s="209">
        <v>7.4829732088075085E-2</v>
      </c>
      <c r="H207" s="209">
        <v>0.10086352423018452</v>
      </c>
      <c r="I207" s="209">
        <v>0.22842491930342468</v>
      </c>
      <c r="J207" s="209">
        <v>0.18881251429403179</v>
      </c>
      <c r="K207" s="209">
        <v>3.2365014604242459E-2</v>
      </c>
      <c r="L207" s="209">
        <v>3.3988602464277262E-2</v>
      </c>
      <c r="M207" s="209">
        <v>3.3873750921075807E-2</v>
      </c>
      <c r="N207" s="209">
        <v>3.6989119198539422E-2</v>
      </c>
      <c r="O207" s="209">
        <v>4.0174970621760897E-2</v>
      </c>
      <c r="P207" s="209">
        <v>4.0174953100190702E-2</v>
      </c>
      <c r="Q207" s="210">
        <v>4.0174810627486401E-2</v>
      </c>
    </row>
    <row r="208" spans="2:17" outlineLevel="1" x14ac:dyDescent="0.25">
      <c r="B208" s="216" t="s">
        <v>608</v>
      </c>
      <c r="C208" s="167" t="s">
        <v>12</v>
      </c>
      <c r="D208" s="148"/>
      <c r="E208" s="209">
        <v>1.5079229237184317</v>
      </c>
      <c r="F208" s="209">
        <v>-0.81701651860775337</v>
      </c>
      <c r="G208" s="209">
        <v>-0.10322158997417152</v>
      </c>
      <c r="H208" s="209">
        <v>-9.7605561277034014E-2</v>
      </c>
      <c r="I208" s="209">
        <v>-0.10811392621758109</v>
      </c>
      <c r="J208" s="209">
        <v>-0.12116265215469812</v>
      </c>
      <c r="K208" s="209">
        <v>-0.13780010817042165</v>
      </c>
      <c r="L208" s="209">
        <v>-0.15974357668234773</v>
      </c>
      <c r="M208" s="209">
        <v>-0.19001400879624919</v>
      </c>
      <c r="N208" s="209">
        <v>-0.17491309040117275</v>
      </c>
      <c r="O208" s="209">
        <v>-6.7487063248139356E-2</v>
      </c>
      <c r="P208" s="209">
        <v>5.2020375664596497E-3</v>
      </c>
      <c r="Q208" s="210">
        <v>5.3562454910263124E-3</v>
      </c>
    </row>
    <row r="209" spans="2:17" s="16" customFormat="1" outlineLevel="1" x14ac:dyDescent="0.25">
      <c r="B209" s="217" t="s">
        <v>1113</v>
      </c>
      <c r="C209" s="136" t="s">
        <v>12</v>
      </c>
      <c r="D209" s="137"/>
      <c r="E209" s="234">
        <v>9.1855243246445228E-2</v>
      </c>
      <c r="F209" s="234">
        <v>2.3089641872354751</v>
      </c>
      <c r="G209" s="234">
        <v>-0.8340159612468645</v>
      </c>
      <c r="H209" s="234">
        <v>-0.69422081603654129</v>
      </c>
      <c r="I209" s="234">
        <v>-1.831608379163556</v>
      </c>
      <c r="J209" s="234">
        <v>2.2795140621288441</v>
      </c>
      <c r="K209" s="234">
        <v>0.6895768662053412</v>
      </c>
      <c r="L209" s="234">
        <v>4.3919789620921579E-2</v>
      </c>
      <c r="M209" s="234">
        <v>4.3052525697454991E-2</v>
      </c>
      <c r="N209" s="234">
        <v>4.2025996633378027E-2</v>
      </c>
      <c r="O209" s="234">
        <v>4.069423634298297E-2</v>
      </c>
      <c r="P209" s="234">
        <v>3.9468275279475939E-2</v>
      </c>
      <c r="Q209" s="235">
        <v>3.9432844406638079E-2</v>
      </c>
    </row>
    <row r="210" spans="2:17" outlineLevel="1" x14ac:dyDescent="0.25">
      <c r="B210" s="216" t="s">
        <v>1161</v>
      </c>
      <c r="C210" s="164" t="s">
        <v>12</v>
      </c>
      <c r="D210" s="148"/>
      <c r="E210" s="209"/>
      <c r="F210" s="209"/>
      <c r="G210" s="209"/>
      <c r="H210" s="209"/>
      <c r="I210" s="209"/>
      <c r="J210" s="209">
        <v>2.2795140621288437</v>
      </c>
      <c r="K210" s="209">
        <v>0.6895768662053412</v>
      </c>
      <c r="L210" s="209">
        <v>4.3919789620921579E-2</v>
      </c>
      <c r="M210" s="209">
        <v>4.3052525697454991E-2</v>
      </c>
      <c r="N210" s="209">
        <v>4.2025996633377805E-2</v>
      </c>
      <c r="O210" s="209">
        <v>4.0694236342983192E-2</v>
      </c>
      <c r="P210" s="209">
        <v>3.9468275279475939E-2</v>
      </c>
      <c r="Q210" s="210">
        <v>3.9432844406638079E-2</v>
      </c>
    </row>
    <row r="211" spans="2:17" s="16" customFormat="1" outlineLevel="1" x14ac:dyDescent="0.25">
      <c r="B211" s="217" t="s">
        <v>1162</v>
      </c>
      <c r="C211" s="208" t="s">
        <v>12</v>
      </c>
      <c r="D211" s="137"/>
      <c r="E211" s="234">
        <v>9.1855243246445228E-2</v>
      </c>
      <c r="F211" s="234">
        <v>2.3089641872354751</v>
      </c>
      <c r="G211" s="234">
        <v>-0.8340159612468645</v>
      </c>
      <c r="H211" s="234">
        <v>-0.69422081603654129</v>
      </c>
      <c r="I211" s="234">
        <v>-1.5405454464563113</v>
      </c>
      <c r="J211" s="234">
        <v>2.2795140621288441</v>
      </c>
      <c r="K211" s="234">
        <v>0.6895768662053412</v>
      </c>
      <c r="L211" s="234">
        <v>4.3919789620921357E-2</v>
      </c>
      <c r="M211" s="234">
        <v>4.3052525697455213E-2</v>
      </c>
      <c r="N211" s="234">
        <v>4.2025996633378027E-2</v>
      </c>
      <c r="O211" s="234">
        <v>4.069423634298297E-2</v>
      </c>
      <c r="P211" s="234">
        <v>3.9468275279475717E-2</v>
      </c>
      <c r="Q211" s="235">
        <v>3.9432844406638301E-2</v>
      </c>
    </row>
    <row r="212" spans="2:17" x14ac:dyDescent="0.25"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</row>
    <row r="213" spans="2:17" s="260" customFormat="1" x14ac:dyDescent="0.25">
      <c r="B213" s="168" t="s">
        <v>1322</v>
      </c>
      <c r="C213" s="169"/>
      <c r="D213" s="170"/>
      <c r="E213" s="170"/>
      <c r="F213" s="170"/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1"/>
    </row>
    <row r="214" spans="2:17" outlineLevel="1" x14ac:dyDescent="0.25"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</row>
    <row r="215" spans="2:17" outlineLevel="1" x14ac:dyDescent="0.25">
      <c r="B215" s="211" t="s">
        <v>1179</v>
      </c>
      <c r="C215" s="211" t="s">
        <v>1321</v>
      </c>
      <c r="D215" s="212" t="s">
        <v>1099</v>
      </c>
      <c r="E215" s="212" t="s">
        <v>1100</v>
      </c>
      <c r="F215" s="212" t="s">
        <v>1101</v>
      </c>
      <c r="G215" s="212" t="s">
        <v>1102</v>
      </c>
      <c r="H215" s="212" t="s">
        <v>1103</v>
      </c>
      <c r="I215" s="212" t="s">
        <v>1104</v>
      </c>
      <c r="J215" s="212" t="s">
        <v>1105</v>
      </c>
      <c r="K215" s="212" t="s">
        <v>1106</v>
      </c>
      <c r="L215" s="212" t="s">
        <v>1107</v>
      </c>
      <c r="M215" s="212" t="s">
        <v>1108</v>
      </c>
      <c r="N215" s="212" t="s">
        <v>1346</v>
      </c>
      <c r="O215" s="212" t="s">
        <v>1347</v>
      </c>
      <c r="P215" s="212" t="s">
        <v>1348</v>
      </c>
      <c r="Q215" s="212" t="s">
        <v>1349</v>
      </c>
    </row>
    <row r="216" spans="2:17" s="16" customFormat="1" outlineLevel="1" x14ac:dyDescent="0.25">
      <c r="B216" s="207" t="s">
        <v>1095</v>
      </c>
      <c r="C216" s="207" t="s">
        <v>11</v>
      </c>
      <c r="D216" s="137">
        <v>190047779441</v>
      </c>
      <c r="E216" s="134">
        <v>233318009664</v>
      </c>
      <c r="F216" s="134">
        <v>311670526572</v>
      </c>
      <c r="G216" s="134">
        <v>724534713863.68823</v>
      </c>
      <c r="H216" s="134">
        <v>712170670034.59863</v>
      </c>
      <c r="I216" s="134">
        <v>738359724042.19739</v>
      </c>
      <c r="J216" s="134">
        <v>789821233817.25769</v>
      </c>
      <c r="K216" s="134">
        <v>864832920520.57385</v>
      </c>
      <c r="L216" s="134">
        <v>961467979679.99658</v>
      </c>
      <c r="M216" s="134">
        <v>1062165277671.6896</v>
      </c>
      <c r="N216" s="134">
        <v>1167028011853.0618</v>
      </c>
      <c r="O216" s="134">
        <v>1276138270592.5132</v>
      </c>
      <c r="P216" s="134">
        <v>1389581071504.0413</v>
      </c>
      <c r="Q216" s="135">
        <v>1507525730381.6074</v>
      </c>
    </row>
    <row r="217" spans="2:17" outlineLevel="1" x14ac:dyDescent="0.25">
      <c r="B217" s="221" t="s">
        <v>1073</v>
      </c>
      <c r="C217" s="214" t="s">
        <v>11</v>
      </c>
      <c r="D217" s="148">
        <v>10829724787</v>
      </c>
      <c r="E217" s="143">
        <v>20611607335</v>
      </c>
      <c r="F217" s="143">
        <v>39587220947</v>
      </c>
      <c r="G217" s="143">
        <v>452119435966.46698</v>
      </c>
      <c r="H217" s="143">
        <v>429366269457.69336</v>
      </c>
      <c r="I217" s="143">
        <v>471421856576.85999</v>
      </c>
      <c r="J217" s="143">
        <v>535961488867.81799</v>
      </c>
      <c r="K217" s="143">
        <v>625613481991.77197</v>
      </c>
      <c r="L217" s="143">
        <v>738344437803.82458</v>
      </c>
      <c r="M217" s="143">
        <v>830809824364.48706</v>
      </c>
      <c r="N217" s="143">
        <v>927110004340.43213</v>
      </c>
      <c r="O217" s="143">
        <v>1027313686136.866</v>
      </c>
      <c r="P217" s="143">
        <v>1131492094140.1023</v>
      </c>
      <c r="Q217" s="144">
        <v>1239800199879.7925</v>
      </c>
    </row>
    <row r="218" spans="2:17" outlineLevel="1" x14ac:dyDescent="0.25">
      <c r="B218" s="221" t="s">
        <v>1120</v>
      </c>
      <c r="C218" s="214" t="s">
        <v>11</v>
      </c>
      <c r="D218" s="148">
        <v>112804280817</v>
      </c>
      <c r="E218" s="143">
        <v>156232780967</v>
      </c>
      <c r="F218" s="143">
        <v>226327325388</v>
      </c>
      <c r="G218" s="143">
        <v>225495354240.90894</v>
      </c>
      <c r="H218" s="143">
        <v>234700432979.32507</v>
      </c>
      <c r="I218" s="143">
        <v>217714104036.40482</v>
      </c>
      <c r="J218" s="143">
        <v>203583003094.28387</v>
      </c>
      <c r="K218" s="143">
        <v>187959223212.52502</v>
      </c>
      <c r="L218" s="143">
        <v>170745612527.41373</v>
      </c>
      <c r="M218" s="143">
        <v>177751138846.69208</v>
      </c>
      <c r="N218" s="143">
        <v>185038048622.53192</v>
      </c>
      <c r="O218" s="143">
        <v>192617728957.75702</v>
      </c>
      <c r="P218" s="143">
        <v>200501918031.60907</v>
      </c>
      <c r="Q218" s="144">
        <v>208702823026.60068</v>
      </c>
    </row>
    <row r="219" spans="2:17" outlineLevel="1" x14ac:dyDescent="0.25">
      <c r="B219" s="222" t="s">
        <v>1072</v>
      </c>
      <c r="C219" s="200" t="s">
        <v>11</v>
      </c>
      <c r="D219" s="149">
        <v>186657194</v>
      </c>
      <c r="E219" s="146">
        <v>749712579</v>
      </c>
      <c r="F219" s="146">
        <v>811293776</v>
      </c>
      <c r="G219" s="146">
        <v>1132634847.919127</v>
      </c>
      <c r="H219" s="146">
        <v>1355076813.8346429</v>
      </c>
      <c r="I219" s="146">
        <v>1474646237.4592814</v>
      </c>
      <c r="J219" s="146">
        <v>1487210320.4390006</v>
      </c>
      <c r="K219" s="146">
        <v>1388470147.4276438</v>
      </c>
      <c r="L219" s="146">
        <v>1380495513.1562486</v>
      </c>
      <c r="M219" s="146">
        <v>1435956940.114728</v>
      </c>
      <c r="N219" s="146">
        <v>1493646450.0259809</v>
      </c>
      <c r="O219" s="146">
        <v>1553653630.3592949</v>
      </c>
      <c r="P219" s="146">
        <v>1616071576.74086</v>
      </c>
      <c r="Q219" s="147">
        <v>1680997027.6053467</v>
      </c>
    </row>
    <row r="220" spans="2:17" outlineLevel="1" x14ac:dyDescent="0.25"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</row>
    <row r="221" spans="2:17" s="16" customFormat="1" outlineLevel="1" x14ac:dyDescent="0.25">
      <c r="B221" s="207" t="s">
        <v>1096</v>
      </c>
      <c r="C221" s="207" t="s">
        <v>11</v>
      </c>
      <c r="D221" s="137">
        <v>359546196656</v>
      </c>
      <c r="E221" s="134">
        <v>522189162208</v>
      </c>
      <c r="F221" s="134">
        <v>983909878171.19678</v>
      </c>
      <c r="G221" s="134">
        <v>778461990799.25549</v>
      </c>
      <c r="H221" s="134">
        <v>786145965605.79443</v>
      </c>
      <c r="I221" s="134">
        <v>801498154429.43298</v>
      </c>
      <c r="J221" s="134">
        <v>817420012444.30127</v>
      </c>
      <c r="K221" s="134">
        <v>832384725700.60278</v>
      </c>
      <c r="L221" s="134">
        <v>866335560971.84497</v>
      </c>
      <c r="M221" s="134">
        <v>901649920915.58667</v>
      </c>
      <c r="N221" s="134">
        <v>938381933914.72388</v>
      </c>
      <c r="O221" s="134">
        <v>976588943801.93274</v>
      </c>
      <c r="P221" s="134">
        <v>1016330066917.3085</v>
      </c>
      <c r="Q221" s="135">
        <v>1057666781205.6787</v>
      </c>
    </row>
    <row r="222" spans="2:17" outlineLevel="1" x14ac:dyDescent="0.25">
      <c r="B222" s="221" t="s">
        <v>1070</v>
      </c>
      <c r="C222" s="214" t="s">
        <v>11</v>
      </c>
      <c r="D222" s="148">
        <v>324534582843</v>
      </c>
      <c r="E222" s="143">
        <v>510380337595</v>
      </c>
      <c r="F222" s="143">
        <v>961509589128.19678</v>
      </c>
      <c r="G222" s="143">
        <v>756423994574.36182</v>
      </c>
      <c r="H222" s="143">
        <v>763556762281.07373</v>
      </c>
      <c r="I222" s="143">
        <v>778601504751.38843</v>
      </c>
      <c r="J222" s="143">
        <v>794069042847.66113</v>
      </c>
      <c r="K222" s="143">
        <v>808561905101.94226</v>
      </c>
      <c r="L222" s="143">
        <v>842022674890.7085</v>
      </c>
      <c r="M222" s="143">
        <v>876828042497.47046</v>
      </c>
      <c r="N222" s="143">
        <v>913031399947.92725</v>
      </c>
      <c r="O222" s="143">
        <v>950689321478.14453</v>
      </c>
      <c r="P222" s="143">
        <v>989860125567.69421</v>
      </c>
      <c r="Q222" s="144">
        <v>1030604460832.4602</v>
      </c>
    </row>
    <row r="223" spans="2:17" outlineLevel="1" x14ac:dyDescent="0.25">
      <c r="B223" s="222" t="s">
        <v>1071</v>
      </c>
      <c r="C223" s="200" t="s">
        <v>11</v>
      </c>
      <c r="D223" s="149">
        <v>35011613813</v>
      </c>
      <c r="E223" s="146">
        <v>11808824613</v>
      </c>
      <c r="F223" s="146">
        <v>22400289043</v>
      </c>
      <c r="G223" s="146">
        <v>22037996224.893723</v>
      </c>
      <c r="H223" s="146">
        <v>22589203324.720741</v>
      </c>
      <c r="I223" s="146">
        <v>22896649678.044544</v>
      </c>
      <c r="J223" s="146">
        <v>23350969596.640099</v>
      </c>
      <c r="K223" s="146">
        <v>23822820598.660572</v>
      </c>
      <c r="L223" s="146">
        <v>24312886081.136501</v>
      </c>
      <c r="M223" s="146">
        <v>24821878418.116188</v>
      </c>
      <c r="N223" s="146">
        <v>25350533966.796638</v>
      </c>
      <c r="O223" s="146">
        <v>25899622323.788185</v>
      </c>
      <c r="P223" s="146">
        <v>26469941349.614307</v>
      </c>
      <c r="Q223" s="147">
        <v>27062320373.218536</v>
      </c>
    </row>
    <row r="224" spans="2:17" outlineLevel="1" x14ac:dyDescent="0.25"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</row>
    <row r="225" spans="2:17" s="16" customFormat="1" outlineLevel="1" x14ac:dyDescent="0.25">
      <c r="B225" s="207" t="s">
        <v>1069</v>
      </c>
      <c r="C225" s="207" t="s">
        <v>11</v>
      </c>
      <c r="D225" s="137">
        <v>-169498417215</v>
      </c>
      <c r="E225" s="134">
        <v>-288871152544</v>
      </c>
      <c r="F225" s="134">
        <v>-672239351599</v>
      </c>
      <c r="G225" s="134">
        <v>-53927276935.370468</v>
      </c>
      <c r="H225" s="134">
        <v>-73975295570.998962</v>
      </c>
      <c r="I225" s="134">
        <v>-63138430387.038666</v>
      </c>
      <c r="J225" s="134">
        <v>-27598778626.846596</v>
      </c>
      <c r="K225" s="134">
        <v>32448194820.167953</v>
      </c>
      <c r="L225" s="134">
        <v>95132418708.348419</v>
      </c>
      <c r="M225" s="134">
        <v>160515356756.29974</v>
      </c>
      <c r="N225" s="134">
        <v>228646077938.53473</v>
      </c>
      <c r="O225" s="134">
        <v>299549326790.7774</v>
      </c>
      <c r="P225" s="134">
        <v>373251004586.92957</v>
      </c>
      <c r="Q225" s="135">
        <v>449858949176.12561</v>
      </c>
    </row>
    <row r="226" spans="2:17" outlineLevel="1" x14ac:dyDescent="0.25">
      <c r="B226" s="221" t="s">
        <v>1065</v>
      </c>
      <c r="C226" s="214" t="s">
        <v>11</v>
      </c>
      <c r="D226" s="148">
        <v>81852000000</v>
      </c>
      <c r="E226" s="143">
        <v>81852000000</v>
      </c>
      <c r="F226" s="143">
        <v>81852000000</v>
      </c>
      <c r="G226" s="143">
        <v>765727787588</v>
      </c>
      <c r="H226" s="143">
        <v>765727787588</v>
      </c>
      <c r="I226" s="143">
        <v>765727787588</v>
      </c>
      <c r="J226" s="143">
        <v>765727787588</v>
      </c>
      <c r="K226" s="143">
        <v>765727787588</v>
      </c>
      <c r="L226" s="143">
        <v>765727787588</v>
      </c>
      <c r="M226" s="143">
        <v>765727787588</v>
      </c>
      <c r="N226" s="143">
        <v>765727787588</v>
      </c>
      <c r="O226" s="143">
        <v>765727787588</v>
      </c>
      <c r="P226" s="143">
        <v>765727787588</v>
      </c>
      <c r="Q226" s="144">
        <v>765727787588</v>
      </c>
    </row>
    <row r="227" spans="2:17" outlineLevel="1" x14ac:dyDescent="0.25">
      <c r="B227" s="139" t="s">
        <v>1168</v>
      </c>
      <c r="C227" s="214" t="s">
        <v>11</v>
      </c>
      <c r="D227" s="148">
        <v>81852000000</v>
      </c>
      <c r="E227" s="143">
        <v>81852000000</v>
      </c>
      <c r="F227" s="143">
        <v>81852000000</v>
      </c>
      <c r="G227" s="143">
        <v>81852000000</v>
      </c>
      <c r="H227" s="143">
        <v>81852000000</v>
      </c>
      <c r="I227" s="143">
        <v>81852000000</v>
      </c>
      <c r="J227" s="143">
        <v>81852000000</v>
      </c>
      <c r="K227" s="143">
        <v>81852000000</v>
      </c>
      <c r="L227" s="143">
        <v>81852000000</v>
      </c>
      <c r="M227" s="143">
        <v>81852000000</v>
      </c>
      <c r="N227" s="143">
        <v>81852000000</v>
      </c>
      <c r="O227" s="143">
        <v>81852000000</v>
      </c>
      <c r="P227" s="143">
        <v>81852000000</v>
      </c>
      <c r="Q227" s="144">
        <v>81852000000</v>
      </c>
    </row>
    <row r="228" spans="2:17" outlineLevel="1" x14ac:dyDescent="0.25">
      <c r="B228" s="139" t="s">
        <v>1330</v>
      </c>
      <c r="C228" s="214" t="s">
        <v>11</v>
      </c>
      <c r="D228" s="148">
        <v>0</v>
      </c>
      <c r="E228" s="143">
        <v>0</v>
      </c>
      <c r="F228" s="143">
        <v>0</v>
      </c>
      <c r="G228" s="143">
        <v>233875787588</v>
      </c>
      <c r="H228" s="143">
        <v>233875787588</v>
      </c>
      <c r="I228" s="143">
        <v>233875787588</v>
      </c>
      <c r="J228" s="143">
        <v>233875787588</v>
      </c>
      <c r="K228" s="143">
        <v>233875787588</v>
      </c>
      <c r="L228" s="143">
        <v>233875787588</v>
      </c>
      <c r="M228" s="143">
        <v>233875787588</v>
      </c>
      <c r="N228" s="143">
        <v>233875787588</v>
      </c>
      <c r="O228" s="143">
        <v>233875787588</v>
      </c>
      <c r="P228" s="143">
        <v>233875787588</v>
      </c>
      <c r="Q228" s="144">
        <v>233875787588</v>
      </c>
    </row>
    <row r="229" spans="2:17" outlineLevel="1" x14ac:dyDescent="0.25">
      <c r="B229" s="139" t="s">
        <v>1416</v>
      </c>
      <c r="C229" s="214" t="s">
        <v>11</v>
      </c>
      <c r="D229" s="148">
        <v>0</v>
      </c>
      <c r="E229" s="143">
        <v>0</v>
      </c>
      <c r="F229" s="143">
        <v>0</v>
      </c>
      <c r="G229" s="143">
        <v>450000000000</v>
      </c>
      <c r="H229" s="143">
        <v>450000000000</v>
      </c>
      <c r="I229" s="143">
        <v>450000000000</v>
      </c>
      <c r="J229" s="143">
        <v>450000000000</v>
      </c>
      <c r="K229" s="143">
        <v>450000000000</v>
      </c>
      <c r="L229" s="143">
        <v>450000000000</v>
      </c>
      <c r="M229" s="143">
        <v>450000000000</v>
      </c>
      <c r="N229" s="143">
        <v>450000000000</v>
      </c>
      <c r="O229" s="143">
        <v>450000000000</v>
      </c>
      <c r="P229" s="143">
        <v>450000000000</v>
      </c>
      <c r="Q229" s="144">
        <v>450000000000</v>
      </c>
    </row>
    <row r="230" spans="2:17" outlineLevel="1" x14ac:dyDescent="0.25">
      <c r="B230" s="139" t="s">
        <v>1417</v>
      </c>
      <c r="C230" s="214" t="s">
        <v>11</v>
      </c>
      <c r="D230" s="148">
        <v>0</v>
      </c>
      <c r="E230" s="143">
        <v>0</v>
      </c>
      <c r="F230" s="143">
        <v>0</v>
      </c>
      <c r="G230" s="143">
        <v>0</v>
      </c>
      <c r="H230" s="143">
        <v>0</v>
      </c>
      <c r="I230" s="143">
        <v>0</v>
      </c>
      <c r="J230" s="143">
        <v>0</v>
      </c>
      <c r="K230" s="143">
        <v>0</v>
      </c>
      <c r="L230" s="143">
        <v>0</v>
      </c>
      <c r="M230" s="143">
        <v>0</v>
      </c>
      <c r="N230" s="143">
        <v>0</v>
      </c>
      <c r="O230" s="143">
        <v>0</v>
      </c>
      <c r="P230" s="143">
        <v>0</v>
      </c>
      <c r="Q230" s="144">
        <v>0</v>
      </c>
    </row>
    <row r="231" spans="2:17" outlineLevel="1" x14ac:dyDescent="0.25">
      <c r="B231" s="221" t="s">
        <v>1066</v>
      </c>
      <c r="C231" s="214" t="s">
        <v>11</v>
      </c>
      <c r="D231" s="148">
        <v>-142020232589</v>
      </c>
      <c r="E231" s="143">
        <v>-251350417215</v>
      </c>
      <c r="F231" s="143">
        <v>-370723152544</v>
      </c>
      <c r="G231" s="143">
        <v>-765723258680</v>
      </c>
      <c r="H231" s="143">
        <v>-831286971604.37048</v>
      </c>
      <c r="I231" s="143">
        <v>-851334990239.9989</v>
      </c>
      <c r="J231" s="143">
        <v>-840498125056.0387</v>
      </c>
      <c r="K231" s="143">
        <v>-804958473295.84656</v>
      </c>
      <c r="L231" s="143">
        <v>-744911499848.83203</v>
      </c>
      <c r="M231" s="143">
        <v>-682227275960.65161</v>
      </c>
      <c r="N231" s="143">
        <v>-616844337912.7002</v>
      </c>
      <c r="O231" s="143">
        <v>-548713616730.46527</v>
      </c>
      <c r="P231" s="143">
        <v>-477810367878.2226</v>
      </c>
      <c r="Q231" s="144">
        <v>-404108690082.07043</v>
      </c>
    </row>
    <row r="232" spans="2:17" outlineLevel="1" x14ac:dyDescent="0.25">
      <c r="B232" s="221" t="s">
        <v>1067</v>
      </c>
      <c r="C232" s="214" t="s">
        <v>11</v>
      </c>
      <c r="D232" s="148">
        <v>-109330184626</v>
      </c>
      <c r="E232" s="143">
        <v>-119372735329</v>
      </c>
      <c r="F232" s="143">
        <v>-395000106136</v>
      </c>
      <c r="G232" s="143">
        <v>-65563712924.370468</v>
      </c>
      <c r="H232" s="143">
        <v>-20048018635.628471</v>
      </c>
      <c r="I232" s="143">
        <v>10836865183.960243</v>
      </c>
      <c r="J232" s="143">
        <v>35539651760.192101</v>
      </c>
      <c r="K232" s="143">
        <v>60046973447.014511</v>
      </c>
      <c r="L232" s="143">
        <v>62684223888.180443</v>
      </c>
      <c r="M232" s="143">
        <v>65382938047.951363</v>
      </c>
      <c r="N232" s="143">
        <v>68130721182.234924</v>
      </c>
      <c r="O232" s="143">
        <v>70903248852.242676</v>
      </c>
      <c r="P232" s="143">
        <v>73701677796.152161</v>
      </c>
      <c r="Q232" s="144">
        <v>76607944589.196014</v>
      </c>
    </row>
    <row r="233" spans="2:17" outlineLevel="1" x14ac:dyDescent="0.25">
      <c r="B233" s="222" t="s">
        <v>1068</v>
      </c>
      <c r="C233" s="200" t="s">
        <v>11</v>
      </c>
      <c r="D233" s="149">
        <v>0</v>
      </c>
      <c r="E233" s="146">
        <v>0</v>
      </c>
      <c r="F233" s="146">
        <v>11631907081</v>
      </c>
      <c r="G233" s="146">
        <v>11631907081</v>
      </c>
      <c r="H233" s="146">
        <v>11631907081</v>
      </c>
      <c r="I233" s="146">
        <v>11631907081</v>
      </c>
      <c r="J233" s="146">
        <v>11631907081</v>
      </c>
      <c r="K233" s="146">
        <v>11631907081</v>
      </c>
      <c r="L233" s="146">
        <v>11631907081</v>
      </c>
      <c r="M233" s="146">
        <v>11631907081</v>
      </c>
      <c r="N233" s="146">
        <v>11631907081</v>
      </c>
      <c r="O233" s="146">
        <v>11631907081</v>
      </c>
      <c r="P233" s="146">
        <v>11631907081</v>
      </c>
      <c r="Q233" s="147">
        <v>11631907081</v>
      </c>
    </row>
    <row r="234" spans="2:17" outlineLevel="1" x14ac:dyDescent="0.25">
      <c r="B234" s="13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</row>
    <row r="235" spans="2:17" s="327" customFormat="1" outlineLevel="1" x14ac:dyDescent="0.25">
      <c r="B235" s="328" t="s">
        <v>846</v>
      </c>
      <c r="C235" s="328" t="s">
        <v>11</v>
      </c>
      <c r="D235" s="329">
        <v>0</v>
      </c>
      <c r="E235" s="330">
        <v>0</v>
      </c>
      <c r="F235" s="330">
        <v>-0.19677734375</v>
      </c>
      <c r="G235" s="330">
        <v>-0.1967926025390625</v>
      </c>
      <c r="H235" s="330">
        <v>-0.19683837890625</v>
      </c>
      <c r="I235" s="330">
        <v>-0.196929931640625</v>
      </c>
      <c r="J235" s="330">
        <v>-0.19698333740234375</v>
      </c>
      <c r="K235" s="330">
        <v>-0.1968841552734375</v>
      </c>
      <c r="L235" s="330">
        <v>-0.196807861328125</v>
      </c>
      <c r="M235" s="330">
        <v>-0.19683837890625</v>
      </c>
      <c r="N235" s="330">
        <v>-0.19683837890625</v>
      </c>
      <c r="O235" s="330">
        <v>-0.19696044921875</v>
      </c>
      <c r="P235" s="330">
        <v>-0.19677734375</v>
      </c>
      <c r="Q235" s="331">
        <v>-0.1968994140625</v>
      </c>
    </row>
    <row r="236" spans="2:17" x14ac:dyDescent="0.25"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</row>
    <row r="237" spans="2:17" x14ac:dyDescent="0.25">
      <c r="B237" s="211" t="s">
        <v>1350</v>
      </c>
      <c r="C237" s="211" t="s">
        <v>1321</v>
      </c>
      <c r="D237" s="212" t="s">
        <v>1099</v>
      </c>
      <c r="E237" s="212" t="s">
        <v>1100</v>
      </c>
      <c r="F237" s="212" t="s">
        <v>1101</v>
      </c>
      <c r="G237" s="212" t="s">
        <v>1102</v>
      </c>
      <c r="H237" s="212" t="s">
        <v>1103</v>
      </c>
      <c r="I237" s="212" t="s">
        <v>1104</v>
      </c>
      <c r="J237" s="212" t="s">
        <v>1105</v>
      </c>
      <c r="K237" s="212" t="s">
        <v>1106</v>
      </c>
      <c r="L237" s="212" t="s">
        <v>1107</v>
      </c>
      <c r="M237" s="212" t="s">
        <v>1108</v>
      </c>
      <c r="N237" s="212" t="s">
        <v>1346</v>
      </c>
      <c r="O237" s="212" t="s">
        <v>1347</v>
      </c>
      <c r="P237" s="212" t="s">
        <v>1348</v>
      </c>
      <c r="Q237" s="212" t="s">
        <v>1349</v>
      </c>
    </row>
    <row r="238" spans="2:17" s="16" customFormat="1" outlineLevel="1" x14ac:dyDescent="0.25">
      <c r="B238" s="207" t="s">
        <v>1095</v>
      </c>
      <c r="C238" s="207" t="s">
        <v>12</v>
      </c>
      <c r="D238" s="236"/>
      <c r="E238" s="234">
        <v>0.22768079874583935</v>
      </c>
      <c r="F238" s="234">
        <v>0.33581855520212534</v>
      </c>
      <c r="G238" s="234">
        <v>1.3246815213254091</v>
      </c>
      <c r="H238" s="234">
        <v>-1.7064805305402886E-2</v>
      </c>
      <c r="I238" s="234">
        <v>3.6773564413045134E-2</v>
      </c>
      <c r="J238" s="234">
        <v>6.9697070546224982E-2</v>
      </c>
      <c r="K238" s="234">
        <v>9.4972993244027748E-2</v>
      </c>
      <c r="L238" s="234">
        <v>0.11173841428383025</v>
      </c>
      <c r="M238" s="234">
        <v>0.10473286694914985</v>
      </c>
      <c r="N238" s="234">
        <v>9.8725439802773041E-2</v>
      </c>
      <c r="O238" s="234">
        <v>9.3494121504591021E-2</v>
      </c>
      <c r="P238" s="234">
        <v>8.8895383459393074E-2</v>
      </c>
      <c r="Q238" s="235">
        <v>8.4877853690037863E-2</v>
      </c>
    </row>
    <row r="239" spans="2:17" outlineLevel="1" x14ac:dyDescent="0.25">
      <c r="B239" s="221" t="s">
        <v>1073</v>
      </c>
      <c r="C239" s="214" t="s">
        <v>12</v>
      </c>
      <c r="D239" s="219"/>
      <c r="E239" s="209">
        <v>0.90324387187956701</v>
      </c>
      <c r="F239" s="209">
        <v>0.92062755240723204</v>
      </c>
      <c r="G239" s="209">
        <v>10.42084301830057</v>
      </c>
      <c r="H239" s="209">
        <v>-5.0325565987083931E-2</v>
      </c>
      <c r="I239" s="209">
        <v>9.7948046017411805E-2</v>
      </c>
      <c r="J239" s="209">
        <v>0.13690420032622219</v>
      </c>
      <c r="K239" s="209">
        <v>0.16727319963480536</v>
      </c>
      <c r="L239" s="209">
        <v>0.18019265737872203</v>
      </c>
      <c r="M239" s="209">
        <v>0.12523340303842057</v>
      </c>
      <c r="N239" s="209">
        <v>0.11591121957375528</v>
      </c>
      <c r="O239" s="209">
        <v>0.10808176087768695</v>
      </c>
      <c r="P239" s="209">
        <v>0.10140856625301198</v>
      </c>
      <c r="Q239" s="210">
        <v>9.5721486964520874E-2</v>
      </c>
    </row>
    <row r="240" spans="2:17" outlineLevel="1" x14ac:dyDescent="0.25">
      <c r="B240" s="221" t="s">
        <v>1120</v>
      </c>
      <c r="C240" s="214" t="s">
        <v>12</v>
      </c>
      <c r="D240" s="219"/>
      <c r="E240" s="209">
        <v>0.3849898233955602</v>
      </c>
      <c r="F240" s="209">
        <v>0.44865452683586038</v>
      </c>
      <c r="G240" s="209">
        <v>-3.6759642065525844E-3</v>
      </c>
      <c r="H240" s="209">
        <v>4.0821589293506433E-2</v>
      </c>
      <c r="I240" s="209">
        <v>-7.2374510465503028E-2</v>
      </c>
      <c r="J240" s="209">
        <v>-6.4906685787145979E-2</v>
      </c>
      <c r="K240" s="209">
        <v>-7.6744028942942411E-2</v>
      </c>
      <c r="L240" s="209">
        <v>-9.1581622816390928E-2</v>
      </c>
      <c r="M240" s="209">
        <v>4.1029026840461835E-2</v>
      </c>
      <c r="N240" s="209">
        <v>4.0995010344911043E-2</v>
      </c>
      <c r="O240" s="209">
        <v>4.0962820304526915E-2</v>
      </c>
      <c r="P240" s="209">
        <v>4.0931793332383837E-2</v>
      </c>
      <c r="Q240" s="210">
        <v>4.0901878024422356E-2</v>
      </c>
    </row>
    <row r="241" spans="2:17" outlineLevel="1" x14ac:dyDescent="0.25">
      <c r="B241" s="222" t="s">
        <v>1072</v>
      </c>
      <c r="C241" s="200" t="s">
        <v>12</v>
      </c>
      <c r="D241" s="237"/>
      <c r="E241" s="158">
        <v>3.0165212116067703</v>
      </c>
      <c r="F241" s="158">
        <v>8.2139740915298187E-2</v>
      </c>
      <c r="G241" s="158">
        <v>0.39608472470165612</v>
      </c>
      <c r="H241" s="158">
        <v>0.19639336218922243</v>
      </c>
      <c r="I241" s="158">
        <v>8.8238114920051514E-2</v>
      </c>
      <c r="J241" s="158">
        <v>8.5200658032846821E-3</v>
      </c>
      <c r="K241" s="158">
        <v>-6.6392877762043945E-2</v>
      </c>
      <c r="L241" s="158">
        <v>-5.7434682957854255E-3</v>
      </c>
      <c r="M241" s="158">
        <v>4.0175014282862076E-2</v>
      </c>
      <c r="N241" s="158">
        <v>4.0174958106086178E-2</v>
      </c>
      <c r="O241" s="158">
        <v>4.0174955949093594E-2</v>
      </c>
      <c r="P241" s="158">
        <v>4.0174943218927339E-2</v>
      </c>
      <c r="Q241" s="159">
        <v>4.0174860939898638E-2</v>
      </c>
    </row>
    <row r="242" spans="2:17" outlineLevel="1" x14ac:dyDescent="0.25">
      <c r="B242" s="9"/>
      <c r="C242" s="9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</row>
    <row r="243" spans="2:17" s="16" customFormat="1" outlineLevel="1" x14ac:dyDescent="0.25">
      <c r="B243" s="207" t="s">
        <v>1096</v>
      </c>
      <c r="C243" s="207" t="s">
        <v>12</v>
      </c>
      <c r="D243" s="236"/>
      <c r="E243" s="234">
        <v>0.45235623979527317</v>
      </c>
      <c r="F243" s="234">
        <v>0.88420202750068322</v>
      </c>
      <c r="G243" s="234">
        <v>-0.20880762753780802</v>
      </c>
      <c r="H243" s="234">
        <v>9.8707128894626184E-3</v>
      </c>
      <c r="I243" s="234">
        <v>1.9528420287456827E-2</v>
      </c>
      <c r="J243" s="234">
        <v>1.9865121244356132E-2</v>
      </c>
      <c r="K243" s="234">
        <v>1.8307250897311667E-2</v>
      </c>
      <c r="L243" s="234">
        <v>4.0787431848495759E-2</v>
      </c>
      <c r="M243" s="234">
        <v>4.0762911664536272E-2</v>
      </c>
      <c r="N243" s="234">
        <v>4.0738663806277886E-2</v>
      </c>
      <c r="O243" s="234">
        <v>4.0715841286306009E-2</v>
      </c>
      <c r="P243" s="234">
        <v>4.0693808144766308E-2</v>
      </c>
      <c r="Q243" s="235">
        <v>4.0672529165403093E-2</v>
      </c>
    </row>
    <row r="244" spans="2:17" outlineLevel="1" x14ac:dyDescent="0.25">
      <c r="B244" s="221" t="s">
        <v>1070</v>
      </c>
      <c r="C244" s="214" t="s">
        <v>12</v>
      </c>
      <c r="D244" s="219"/>
      <c r="E244" s="209">
        <v>0.57265316110211439</v>
      </c>
      <c r="F244" s="209">
        <v>0.88390797666500132</v>
      </c>
      <c r="G244" s="209">
        <v>-0.21329542302306792</v>
      </c>
      <c r="H244" s="209">
        <v>9.4295894338010111E-3</v>
      </c>
      <c r="I244" s="209">
        <v>1.9703502363556558E-2</v>
      </c>
      <c r="J244" s="209">
        <v>1.9865795277664633E-2</v>
      </c>
      <c r="K244" s="209">
        <v>1.8251388068608376E-2</v>
      </c>
      <c r="L244" s="209">
        <v>4.1383064892906996E-2</v>
      </c>
      <c r="M244" s="209">
        <v>4.1335427945903724E-2</v>
      </c>
      <c r="N244" s="209">
        <v>4.1289005022397296E-2</v>
      </c>
      <c r="O244" s="209">
        <v>4.124493586131317E-2</v>
      </c>
      <c r="P244" s="209">
        <v>4.1202528738459421E-2</v>
      </c>
      <c r="Q244" s="210">
        <v>4.1161709833900773E-2</v>
      </c>
    </row>
    <row r="245" spans="2:17" outlineLevel="1" x14ac:dyDescent="0.25">
      <c r="B245" s="222" t="s">
        <v>1071</v>
      </c>
      <c r="C245" s="200" t="s">
        <v>12</v>
      </c>
      <c r="D245" s="237"/>
      <c r="E245" s="158">
        <v>-0.66271692941456695</v>
      </c>
      <c r="F245" s="158">
        <v>0.89691097777336437</v>
      </c>
      <c r="G245" s="158">
        <v>-1.6173577823518914E-2</v>
      </c>
      <c r="H245" s="158">
        <v>2.501167048955133E-2</v>
      </c>
      <c r="I245" s="158">
        <v>1.3610322989449752E-2</v>
      </c>
      <c r="J245" s="158">
        <v>1.9842200714246916E-2</v>
      </c>
      <c r="K245" s="158">
        <v>2.0206912610959193E-2</v>
      </c>
      <c r="L245" s="158">
        <v>2.0571261931237705E-2</v>
      </c>
      <c r="M245" s="158">
        <v>2.093508501134278E-2</v>
      </c>
      <c r="N245" s="158">
        <v>2.1297967050495803E-2</v>
      </c>
      <c r="O245" s="158">
        <v>2.165983397867377E-2</v>
      </c>
      <c r="P245" s="158">
        <v>2.2020360710136577E-2</v>
      </c>
      <c r="Q245" s="159">
        <v>2.2379310017355269E-2</v>
      </c>
    </row>
    <row r="246" spans="2:17" outlineLevel="1" x14ac:dyDescent="0.25">
      <c r="B246" s="9"/>
      <c r="C246" s="9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</row>
    <row r="247" spans="2:17" s="16" customFormat="1" outlineLevel="1" x14ac:dyDescent="0.25">
      <c r="B247" s="207" t="s">
        <v>1069</v>
      </c>
      <c r="C247" s="207" t="s">
        <v>12</v>
      </c>
      <c r="D247" s="236"/>
      <c r="E247" s="234">
        <v>0.70427050169785277</v>
      </c>
      <c r="F247" s="234">
        <v>1.3271252448671089</v>
      </c>
      <c r="G247" s="234">
        <v>-0.91977964871128393</v>
      </c>
      <c r="H247" s="234">
        <v>0.37176026261543282</v>
      </c>
      <c r="I247" s="234">
        <v>-0.14649302987318846</v>
      </c>
      <c r="J247" s="234">
        <v>-0.5628846257712451</v>
      </c>
      <c r="K247" s="234">
        <v>-2.1757112609542837</v>
      </c>
      <c r="L247" s="234">
        <v>1.9318246896502087</v>
      </c>
      <c r="M247" s="234">
        <v>0.68728346168090848</v>
      </c>
      <c r="N247" s="234">
        <v>0.42444986298521914</v>
      </c>
      <c r="O247" s="234">
        <v>0.31010043772236973</v>
      </c>
      <c r="P247" s="234">
        <v>0.24604187425742308</v>
      </c>
      <c r="Q247" s="235">
        <v>0.20524511293406089</v>
      </c>
    </row>
    <row r="248" spans="2:17" outlineLevel="1" x14ac:dyDescent="0.25">
      <c r="B248" s="221" t="s">
        <v>1065</v>
      </c>
      <c r="C248" s="214" t="s">
        <v>12</v>
      </c>
      <c r="D248" s="219"/>
      <c r="E248" s="209">
        <v>0</v>
      </c>
      <c r="F248" s="209">
        <v>0</v>
      </c>
      <c r="G248" s="209">
        <v>8.3550284365440071</v>
      </c>
      <c r="H248" s="209">
        <v>0</v>
      </c>
      <c r="I248" s="209">
        <v>0</v>
      </c>
      <c r="J248" s="209">
        <v>0</v>
      </c>
      <c r="K248" s="209">
        <v>0</v>
      </c>
      <c r="L248" s="209">
        <v>0</v>
      </c>
      <c r="M248" s="209">
        <v>0</v>
      </c>
      <c r="N248" s="209">
        <v>0</v>
      </c>
      <c r="O248" s="209">
        <v>0</v>
      </c>
      <c r="P248" s="209">
        <v>0</v>
      </c>
      <c r="Q248" s="210">
        <v>0</v>
      </c>
    </row>
    <row r="249" spans="2:17" outlineLevel="1" x14ac:dyDescent="0.25">
      <c r="B249" s="221" t="s">
        <v>1066</v>
      </c>
      <c r="C249" s="214" t="s">
        <v>12</v>
      </c>
      <c r="D249" s="219"/>
      <c r="E249" s="209">
        <v>0.76982119119883796</v>
      </c>
      <c r="F249" s="209">
        <v>0.47492555075765397</v>
      </c>
      <c r="G249" s="209">
        <v>1.0654853990785447</v>
      </c>
      <c r="H249" s="209">
        <v>8.56232485838202E-2</v>
      </c>
      <c r="I249" s="209">
        <v>2.411684450790319E-2</v>
      </c>
      <c r="J249" s="209">
        <v>-1.2729260876385706E-2</v>
      </c>
      <c r="K249" s="209">
        <v>-4.2284034551323457E-2</v>
      </c>
      <c r="L249" s="209">
        <v>-7.4596361724296623E-2</v>
      </c>
      <c r="M249" s="209">
        <v>-8.4149894183270346E-2</v>
      </c>
      <c r="N249" s="209">
        <v>-9.5837472865453854E-2</v>
      </c>
      <c r="O249" s="209">
        <v>-0.11045042808170713</v>
      </c>
      <c r="P249" s="209">
        <v>-0.12921722131614455</v>
      </c>
      <c r="Q249" s="210">
        <v>-0.15424880402539987</v>
      </c>
    </row>
    <row r="250" spans="2:17" outlineLevel="1" x14ac:dyDescent="0.25">
      <c r="B250" s="221" t="s">
        <v>1067</v>
      </c>
      <c r="C250" s="214" t="s">
        <v>12</v>
      </c>
      <c r="D250" s="219"/>
      <c r="E250" s="209">
        <v>9.1855243246445228E-2</v>
      </c>
      <c r="F250" s="209">
        <v>2.3089641872354751</v>
      </c>
      <c r="G250" s="209">
        <v>-0.8340159612468645</v>
      </c>
      <c r="H250" s="209">
        <v>-0.69422081603654129</v>
      </c>
      <c r="I250" s="209">
        <v>-1.5405454464563113</v>
      </c>
      <c r="J250" s="209">
        <v>2.2795140621288441</v>
      </c>
      <c r="K250" s="209">
        <v>0.6895768662053412</v>
      </c>
      <c r="L250" s="209">
        <v>4.3919789620921357E-2</v>
      </c>
      <c r="M250" s="209">
        <v>4.3052525697455213E-2</v>
      </c>
      <c r="N250" s="209">
        <v>4.2025996633378027E-2</v>
      </c>
      <c r="O250" s="209">
        <v>4.069423634298297E-2</v>
      </c>
      <c r="P250" s="209">
        <v>3.9468275279475717E-2</v>
      </c>
      <c r="Q250" s="210">
        <v>3.9432844406638301E-2</v>
      </c>
    </row>
    <row r="251" spans="2:17" outlineLevel="1" x14ac:dyDescent="0.25">
      <c r="B251" s="222" t="s">
        <v>1068</v>
      </c>
      <c r="C251" s="200" t="s">
        <v>12</v>
      </c>
      <c r="D251" s="237"/>
      <c r="E251" s="158"/>
      <c r="F251" s="158"/>
      <c r="G251" s="158">
        <v>0</v>
      </c>
      <c r="H251" s="158">
        <v>0</v>
      </c>
      <c r="I251" s="158">
        <v>0</v>
      </c>
      <c r="J251" s="158">
        <v>0</v>
      </c>
      <c r="K251" s="158">
        <v>0</v>
      </c>
      <c r="L251" s="158">
        <v>0</v>
      </c>
      <c r="M251" s="158">
        <v>0</v>
      </c>
      <c r="N251" s="158">
        <v>0</v>
      </c>
      <c r="O251" s="158">
        <v>0</v>
      </c>
      <c r="P251" s="158">
        <v>0</v>
      </c>
      <c r="Q251" s="159">
        <v>0</v>
      </c>
    </row>
    <row r="252" spans="2:17" x14ac:dyDescent="0.25"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</row>
    <row r="253" spans="2:17" s="16" customFormat="1" x14ac:dyDescent="0.25">
      <c r="B253" s="17" t="s">
        <v>1124</v>
      </c>
      <c r="C253" s="17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</row>
    <row r="254" spans="2:17" outlineLevel="1" x14ac:dyDescent="0.25"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</row>
    <row r="255" spans="2:17" outlineLevel="1" x14ac:dyDescent="0.25">
      <c r="B255" t="s">
        <v>1114</v>
      </c>
      <c r="D255" s="112">
        <v>0</v>
      </c>
      <c r="E255" s="112">
        <v>0</v>
      </c>
      <c r="F255" s="112">
        <v>0</v>
      </c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</row>
    <row r="256" spans="2:17" outlineLevel="1" x14ac:dyDescent="0.25">
      <c r="B256" t="s">
        <v>1115</v>
      </c>
      <c r="D256" s="112">
        <v>0</v>
      </c>
      <c r="E256" s="112">
        <v>0</v>
      </c>
      <c r="F256" s="112">
        <v>0</v>
      </c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</row>
    <row r="257" spans="2:17" outlineLevel="1" x14ac:dyDescent="0.25">
      <c r="B257" t="s">
        <v>1116</v>
      </c>
      <c r="D257" s="112">
        <v>0</v>
      </c>
      <c r="E257" s="112">
        <v>0</v>
      </c>
      <c r="F257" s="112">
        <v>0</v>
      </c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</row>
    <row r="258" spans="2:17" outlineLevel="1" x14ac:dyDescent="0.25">
      <c r="B258" t="s">
        <v>1117</v>
      </c>
      <c r="D258" s="112">
        <v>0</v>
      </c>
      <c r="E258" s="112">
        <v>0</v>
      </c>
      <c r="F258" s="112">
        <v>0</v>
      </c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</row>
    <row r="259" spans="2:17" outlineLevel="1" x14ac:dyDescent="0.25">
      <c r="B259" t="s">
        <v>1118</v>
      </c>
      <c r="D259" s="112">
        <v>0</v>
      </c>
      <c r="E259" s="112">
        <v>0</v>
      </c>
      <c r="F259" s="112">
        <v>-0.19677734375</v>
      </c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</row>
    <row r="260" spans="2:17" x14ac:dyDescent="0.25"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</row>
    <row r="261" spans="2:17" s="16" customFormat="1" x14ac:dyDescent="0.25">
      <c r="B261" s="17" t="s">
        <v>1128</v>
      </c>
      <c r="C261" s="17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</row>
    <row r="262" spans="2:17" outlineLevel="1" x14ac:dyDescent="0.25"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</row>
    <row r="263" spans="2:17" s="6" customFormat="1" outlineLevel="1" x14ac:dyDescent="0.25">
      <c r="B263" s="6" t="s">
        <v>1129</v>
      </c>
      <c r="G263" s="7">
        <v>3.5000000000000003E-2</v>
      </c>
      <c r="H263" s="7">
        <v>3.5000000000000003E-2</v>
      </c>
      <c r="I263" s="7">
        <v>3.5000000000000003E-2</v>
      </c>
      <c r="J263" s="7">
        <v>3.5000000000000003E-2</v>
      </c>
      <c r="K263" s="7">
        <v>3.5000000000000003E-2</v>
      </c>
      <c r="L263" s="7">
        <v>3.5000000000000003E-2</v>
      </c>
      <c r="M263" s="7">
        <v>3.5000000000000003E-2</v>
      </c>
      <c r="N263" s="7">
        <v>3.5000000000000003E-2</v>
      </c>
      <c r="O263" s="7">
        <v>3.5000000000000003E-2</v>
      </c>
      <c r="P263" s="7">
        <v>3.5000000000000003E-2</v>
      </c>
      <c r="Q263" s="7">
        <v>3.5000000000000003E-2</v>
      </c>
    </row>
    <row r="264" spans="2:17" s="6" customFormat="1" outlineLevel="1" x14ac:dyDescent="0.25">
      <c r="B264" s="6" t="s">
        <v>1456</v>
      </c>
      <c r="G264" s="6">
        <v>1</v>
      </c>
      <c r="H264" s="6">
        <v>1.0349999999999999</v>
      </c>
      <c r="I264" s="6">
        <v>1.0712249999999999</v>
      </c>
      <c r="J264" s="6">
        <v>1.1087178749999997</v>
      </c>
      <c r="K264" s="6">
        <v>1.1475230006249997</v>
      </c>
      <c r="L264" s="6">
        <v>1.1876863056468745</v>
      </c>
      <c r="M264" s="6">
        <v>1.229255326344515</v>
      </c>
      <c r="N264" s="6">
        <v>1.2722792627665729</v>
      </c>
      <c r="O264" s="6">
        <v>1.3168090369634029</v>
      </c>
      <c r="P264" s="6">
        <v>1.3628973532571218</v>
      </c>
      <c r="Q264" s="6">
        <v>1.410598760621121</v>
      </c>
    </row>
    <row r="265" spans="2:17" s="6" customFormat="1" outlineLevel="1" x14ac:dyDescent="0.25">
      <c r="B265" s="6" t="s">
        <v>1130</v>
      </c>
      <c r="G265" s="7">
        <v>4.4999999999999998E-2</v>
      </c>
      <c r="H265" s="7">
        <v>4.4999999999999998E-2</v>
      </c>
      <c r="I265" s="7">
        <v>4.4999999999999998E-2</v>
      </c>
      <c r="J265" s="7">
        <v>4.4999999999999998E-2</v>
      </c>
      <c r="K265" s="7">
        <v>4.4999999999999998E-2</v>
      </c>
      <c r="L265" s="7">
        <v>4.4999999999999998E-2</v>
      </c>
      <c r="M265" s="7">
        <v>4.4999999999999998E-2</v>
      </c>
      <c r="N265" s="7">
        <v>4.4999999999999998E-2</v>
      </c>
      <c r="O265" s="7">
        <v>4.4999999999999998E-2</v>
      </c>
      <c r="P265" s="7">
        <v>4.4999999999999998E-2</v>
      </c>
      <c r="Q265" s="7">
        <v>4.4999999999999998E-2</v>
      </c>
    </row>
    <row r="266" spans="2:17" s="6" customFormat="1" outlineLevel="1" x14ac:dyDescent="0.25">
      <c r="B266" s="6" t="s">
        <v>1164</v>
      </c>
      <c r="G266" s="7">
        <v>0.35</v>
      </c>
      <c r="H266" s="6">
        <v>0.35</v>
      </c>
      <c r="I266" s="6">
        <v>0.35</v>
      </c>
      <c r="J266" s="6">
        <v>0.35</v>
      </c>
      <c r="K266" s="6">
        <v>0.35</v>
      </c>
      <c r="L266" s="6">
        <v>0.35</v>
      </c>
      <c r="M266" s="6">
        <v>0.35</v>
      </c>
      <c r="N266" s="6">
        <v>0.35</v>
      </c>
      <c r="O266" s="6">
        <v>0.35</v>
      </c>
      <c r="P266" s="6">
        <v>0.35</v>
      </c>
      <c r="Q266" s="6">
        <v>0.35</v>
      </c>
    </row>
    <row r="267" spans="2:17" x14ac:dyDescent="0.25"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</row>
    <row r="268" spans="2:17" s="16" customFormat="1" x14ac:dyDescent="0.25">
      <c r="B268" s="17" t="s">
        <v>1125</v>
      </c>
      <c r="C268" s="17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</row>
    <row r="269" spans="2:17" outlineLevel="1" x14ac:dyDescent="0.25"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</row>
    <row r="270" spans="2:17" s="6" customFormat="1" outlineLevel="1" x14ac:dyDescent="0.25">
      <c r="B270" s="117" t="s">
        <v>1079</v>
      </c>
      <c r="D270" s="6">
        <v>1</v>
      </c>
      <c r="E270" s="6">
        <v>1</v>
      </c>
      <c r="F270" s="6">
        <v>1</v>
      </c>
      <c r="G270" s="6">
        <v>1</v>
      </c>
      <c r="H270" s="6">
        <v>1</v>
      </c>
      <c r="I270" s="6">
        <v>1</v>
      </c>
      <c r="J270" s="6">
        <v>1</v>
      </c>
      <c r="K270" s="6">
        <v>1</v>
      </c>
      <c r="L270" s="6">
        <v>1</v>
      </c>
      <c r="M270" s="6">
        <v>1</v>
      </c>
      <c r="N270" s="6">
        <v>1</v>
      </c>
      <c r="O270" s="6">
        <v>1</v>
      </c>
      <c r="P270" s="6">
        <v>1</v>
      </c>
      <c r="Q270" s="6">
        <v>1</v>
      </c>
    </row>
    <row r="271" spans="2:17" s="6" customFormat="1" outlineLevel="1" x14ac:dyDescent="0.25">
      <c r="B271" s="118" t="s">
        <v>1076</v>
      </c>
      <c r="D271" s="6">
        <v>6.2960091358138818E-3</v>
      </c>
      <c r="E271" s="6">
        <v>2.0179154038140093E-2</v>
      </c>
      <c r="F271" s="6">
        <v>3.7051769761773969E-2</v>
      </c>
      <c r="G271" s="6">
        <v>3.7051769761773969E-2</v>
      </c>
      <c r="H271" s="6">
        <v>3.7051769761773969E-2</v>
      </c>
      <c r="I271" s="6">
        <v>3.7051769761773969E-2</v>
      </c>
      <c r="J271" s="6">
        <v>3.7051769761773969E-2</v>
      </c>
      <c r="K271" s="6">
        <v>3.7051769761773969E-2</v>
      </c>
      <c r="L271" s="6">
        <v>3.7051769761773969E-2</v>
      </c>
      <c r="M271" s="6">
        <v>3.7051769761773969E-2</v>
      </c>
      <c r="N271" s="6">
        <v>3.7051769761773969E-2</v>
      </c>
      <c r="O271" s="6">
        <v>3.7051769761773969E-2</v>
      </c>
      <c r="P271" s="6">
        <v>3.7051769761773969E-2</v>
      </c>
      <c r="Q271" s="6">
        <v>3.7051769761773969E-2</v>
      </c>
    </row>
    <row r="272" spans="2:17" s="6" customFormat="1" outlineLevel="1" x14ac:dyDescent="0.25">
      <c r="B272" s="118" t="s">
        <v>1077</v>
      </c>
      <c r="D272" s="6">
        <v>0.91369364209402137</v>
      </c>
      <c r="E272" s="6">
        <v>0.90644808959643208</v>
      </c>
      <c r="F272" s="6">
        <v>0.91037638316188629</v>
      </c>
      <c r="G272" s="6">
        <v>0.91037638316188629</v>
      </c>
      <c r="H272" s="6">
        <v>0.91037638316188629</v>
      </c>
      <c r="I272" s="6">
        <v>0.91037638316188629</v>
      </c>
      <c r="J272" s="6">
        <v>0.91037638316188629</v>
      </c>
      <c r="K272" s="6">
        <v>0.91037638316188629</v>
      </c>
      <c r="L272" s="6">
        <v>0.91037638316188629</v>
      </c>
      <c r="M272" s="6">
        <v>0.91037638316188629</v>
      </c>
      <c r="N272" s="6">
        <v>0.91037638316188629</v>
      </c>
      <c r="O272" s="6">
        <v>0.91037638316188629</v>
      </c>
      <c r="P272" s="6">
        <v>0.91037638316188629</v>
      </c>
      <c r="Q272" s="6">
        <v>0.91037638316188629</v>
      </c>
    </row>
    <row r="273" spans="2:17" s="6" customFormat="1" outlineLevel="1" x14ac:dyDescent="0.25">
      <c r="B273" s="118" t="s">
        <v>1074</v>
      </c>
      <c r="D273" s="6">
        <v>0</v>
      </c>
      <c r="E273" s="6">
        <v>0</v>
      </c>
      <c r="F273" s="6">
        <v>1.5315640976877465E-4</v>
      </c>
      <c r="G273" s="6">
        <v>1.5315640976877465E-4</v>
      </c>
      <c r="H273" s="6">
        <v>1.5315640976877465E-4</v>
      </c>
      <c r="I273" s="6">
        <v>1.5315640976877465E-4</v>
      </c>
      <c r="J273" s="6">
        <v>1.5315640976877465E-4</v>
      </c>
      <c r="K273" s="6">
        <v>1.5315640976877465E-4</v>
      </c>
      <c r="L273" s="6">
        <v>1.5315640976877465E-4</v>
      </c>
      <c r="M273" s="6">
        <v>1.5315640976877465E-4</v>
      </c>
      <c r="N273" s="6">
        <v>1.5315640976877465E-4</v>
      </c>
      <c r="O273" s="6">
        <v>1.5315640976877465E-4</v>
      </c>
      <c r="P273" s="6">
        <v>1.5315640976877465E-4</v>
      </c>
      <c r="Q273" s="6">
        <v>1.5315640976877465E-4</v>
      </c>
    </row>
    <row r="274" spans="2:17" s="6" customFormat="1" outlineLevel="1" x14ac:dyDescent="0.25">
      <c r="B274" s="118" t="s">
        <v>1075</v>
      </c>
      <c r="D274" s="6">
        <v>3.1524053511500913E-3</v>
      </c>
      <c r="E274" s="6">
        <v>2.3920370062639335E-3</v>
      </c>
      <c r="F274" s="6">
        <v>2.3642980681472343E-3</v>
      </c>
      <c r="G274" s="6">
        <v>2.3642980681472343E-3</v>
      </c>
      <c r="H274" s="6">
        <v>2.3642980681472343E-3</v>
      </c>
      <c r="I274" s="6">
        <v>2.3642980681472343E-3</v>
      </c>
      <c r="J274" s="6">
        <v>2.3642980681472343E-3</v>
      </c>
      <c r="K274" s="6">
        <v>2.3642980681472343E-3</v>
      </c>
      <c r="L274" s="6">
        <v>2.3642980681472343E-3</v>
      </c>
      <c r="M274" s="6">
        <v>2.3642980681472343E-3</v>
      </c>
      <c r="N274" s="6">
        <v>2.3642980681472343E-3</v>
      </c>
      <c r="O274" s="6">
        <v>2.3642980681472343E-3</v>
      </c>
      <c r="P274" s="6">
        <v>2.3642980681472343E-3</v>
      </c>
      <c r="Q274" s="6">
        <v>2.3642980681472343E-3</v>
      </c>
    </row>
    <row r="275" spans="2:17" s="6" customFormat="1" outlineLevel="1" x14ac:dyDescent="0.25">
      <c r="B275" s="118" t="s">
        <v>389</v>
      </c>
      <c r="D275" s="6">
        <v>4.49274506851064E-5</v>
      </c>
      <c r="E275" s="6">
        <v>7.8453485826834982E-5</v>
      </c>
      <c r="F275" s="6">
        <v>1.3671685917442695E-3</v>
      </c>
      <c r="G275" s="6">
        <v>1.3671685917442695E-3</v>
      </c>
      <c r="H275" s="6">
        <v>1.3671685917442695E-3</v>
      </c>
      <c r="I275" s="6">
        <v>1.3671685917442695E-3</v>
      </c>
      <c r="J275" s="6">
        <v>1.3671685917442695E-3</v>
      </c>
      <c r="K275" s="6">
        <v>1.3671685917442695E-3</v>
      </c>
      <c r="L275" s="6">
        <v>1.3671685917442695E-3</v>
      </c>
      <c r="M275" s="6">
        <v>1.3671685917442695E-3</v>
      </c>
      <c r="N275" s="6">
        <v>1.3671685917442695E-3</v>
      </c>
      <c r="O275" s="6">
        <v>1.3671685917442695E-3</v>
      </c>
      <c r="P275" s="6">
        <v>1.3671685917442695E-3</v>
      </c>
      <c r="Q275" s="6">
        <v>1.3671685917442695E-3</v>
      </c>
    </row>
    <row r="276" spans="2:17" s="6" customFormat="1" outlineLevel="1" x14ac:dyDescent="0.25">
      <c r="B276" s="118" t="s">
        <v>1081</v>
      </c>
      <c r="D276" s="6">
        <v>5.4916572776519141E-3</v>
      </c>
      <c r="E276" s="6">
        <v>6.5711100514017724E-3</v>
      </c>
      <c r="F276" s="6">
        <v>5.9454867905159867E-3</v>
      </c>
      <c r="G276" s="6">
        <v>5.9454867905159867E-3</v>
      </c>
      <c r="H276" s="6">
        <v>5.9454867905159867E-3</v>
      </c>
      <c r="I276" s="6">
        <v>5.9454867905159867E-3</v>
      </c>
      <c r="J276" s="6">
        <v>5.9454867905159867E-3</v>
      </c>
      <c r="K276" s="6">
        <v>5.9454867905159867E-3</v>
      </c>
      <c r="L276" s="6">
        <v>5.9454867905159867E-3</v>
      </c>
      <c r="M276" s="6">
        <v>5.9454867905159867E-3</v>
      </c>
      <c r="N276" s="6">
        <v>5.9454867905159867E-3</v>
      </c>
      <c r="O276" s="6">
        <v>5.9454867905159867E-3</v>
      </c>
      <c r="P276" s="6">
        <v>5.9454867905159867E-3</v>
      </c>
      <c r="Q276" s="6">
        <v>5.9454867905159867E-3</v>
      </c>
    </row>
    <row r="277" spans="2:17" s="6" customFormat="1" outlineLevel="1" x14ac:dyDescent="0.25">
      <c r="B277" s="118" t="s">
        <v>1078</v>
      </c>
      <c r="D277" s="6">
        <v>7.1321358690677669E-2</v>
      </c>
      <c r="E277" s="6">
        <v>6.4331155821935243E-2</v>
      </c>
      <c r="F277" s="6">
        <v>4.2741737216163436E-2</v>
      </c>
      <c r="G277" s="6">
        <v>4.2741737216163436E-2</v>
      </c>
      <c r="H277" s="6">
        <v>4.2741737216163436E-2</v>
      </c>
      <c r="I277" s="6">
        <v>4.2741737216163436E-2</v>
      </c>
      <c r="J277" s="6">
        <v>4.2741737216163436E-2</v>
      </c>
      <c r="K277" s="6">
        <v>4.2741737216163436E-2</v>
      </c>
      <c r="L277" s="6">
        <v>4.2741737216163436E-2</v>
      </c>
      <c r="M277" s="6">
        <v>4.2741737216163436E-2</v>
      </c>
      <c r="N277" s="6">
        <v>4.2741737216163436E-2</v>
      </c>
      <c r="O277" s="6">
        <v>4.2741737216163436E-2</v>
      </c>
      <c r="P277" s="6">
        <v>4.2741737216163436E-2</v>
      </c>
      <c r="Q277" s="6">
        <v>4.2741737216163436E-2</v>
      </c>
    </row>
    <row r="278" spans="2:17" outlineLevel="1" x14ac:dyDescent="0.25"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</row>
    <row r="279" spans="2:17" s="16" customFormat="1" outlineLevel="1" x14ac:dyDescent="0.25">
      <c r="B279" s="117" t="s">
        <v>1079</v>
      </c>
      <c r="C279" s="9" t="s">
        <v>11</v>
      </c>
      <c r="D279" s="12">
        <v>1190425478954</v>
      </c>
      <c r="E279" s="12">
        <v>1349953464576</v>
      </c>
      <c r="F279" s="12">
        <v>1444415524848</v>
      </c>
      <c r="G279" s="12">
        <v>1472940849747.272</v>
      </c>
      <c r="H279" s="12">
        <v>1532116355922.804</v>
      </c>
      <c r="I279" s="12">
        <v>1593668750244.5149</v>
      </c>
      <c r="J279" s="12">
        <v>1657694248290.271</v>
      </c>
      <c r="K279" s="12">
        <v>1724292010390.7253</v>
      </c>
      <c r="L279" s="12">
        <v>1793565159113.97</v>
      </c>
      <c r="M279" s="12">
        <v>1865622001255.1184</v>
      </c>
      <c r="N279" s="12">
        <v>1940573073235.1855</v>
      </c>
      <c r="O279" s="12">
        <v>2018535499540.3582</v>
      </c>
      <c r="P279" s="12">
        <v>2099630015728.55</v>
      </c>
      <c r="Q279" s="12">
        <v>2183982181391.3215</v>
      </c>
    </row>
    <row r="280" spans="2:17" outlineLevel="1" x14ac:dyDescent="0.25">
      <c r="B280" s="118" t="s">
        <v>1076</v>
      </c>
      <c r="C280" s="9" t="s">
        <v>11</v>
      </c>
      <c r="D280" s="9">
        <v>7494929691</v>
      </c>
      <c r="E280" s="9">
        <v>27240918906</v>
      </c>
      <c r="F280" s="9">
        <v>53518151467</v>
      </c>
      <c r="G280" s="9">
        <v>95790654398.850861</v>
      </c>
      <c r="H280" s="9">
        <v>99639050932.83934</v>
      </c>
      <c r="I280" s="9">
        <v>103642025073.24997</v>
      </c>
      <c r="J280" s="9">
        <v>107805834066.03311</v>
      </c>
      <c r="K280" s="9">
        <v>112136926665.03064</v>
      </c>
      <c r="L280" s="9">
        <v>116642009302.67155</v>
      </c>
      <c r="M280" s="9">
        <v>121328125560.36082</v>
      </c>
      <c r="N280" s="9">
        <v>126202464020.1149</v>
      </c>
      <c r="O280" s="9">
        <v>131272641709.58292</v>
      </c>
      <c r="P280" s="9">
        <v>136546510497.42865</v>
      </c>
      <c r="Q280" s="9">
        <v>142032235976.61783</v>
      </c>
    </row>
    <row r="281" spans="2:17" outlineLevel="1" x14ac:dyDescent="0.25">
      <c r="B281" s="118" t="s">
        <v>1077</v>
      </c>
      <c r="C281" s="9" t="s">
        <v>11</v>
      </c>
      <c r="D281" s="9">
        <v>1087684191507</v>
      </c>
      <c r="E281" s="9">
        <v>1223662739009</v>
      </c>
      <c r="F281" s="9">
        <v>1314961781294</v>
      </c>
      <c r="G281" s="9">
        <v>1299714974243.0137</v>
      </c>
      <c r="H281" s="9">
        <v>1351931118223.2319</v>
      </c>
      <c r="I281" s="9">
        <v>1406244615343.0688</v>
      </c>
      <c r="J281" s="9">
        <v>1462740365703.7937</v>
      </c>
      <c r="K281" s="9">
        <v>1521505867840.479</v>
      </c>
      <c r="L281" s="9">
        <v>1582632116544.9077</v>
      </c>
      <c r="M281" s="9">
        <v>1646214681142.5186</v>
      </c>
      <c r="N281" s="9">
        <v>1712351098368.4878</v>
      </c>
      <c r="O281" s="9">
        <v>1781144718230.7764</v>
      </c>
      <c r="P281" s="9">
        <v>1852702077127.3472</v>
      </c>
      <c r="Q281" s="9">
        <v>1927133968157.1482</v>
      </c>
    </row>
    <row r="282" spans="2:17" outlineLevel="1" x14ac:dyDescent="0.25">
      <c r="B282" s="118" t="s">
        <v>1074</v>
      </c>
      <c r="C282" s="9" t="s">
        <v>11</v>
      </c>
      <c r="D282" s="9">
        <v>0</v>
      </c>
      <c r="E282" s="9">
        <v>0</v>
      </c>
      <c r="F282" s="9">
        <v>221221496</v>
      </c>
      <c r="G282" s="9">
        <v>225590332.34906033</v>
      </c>
      <c r="H282" s="9">
        <v>234653440.42115477</v>
      </c>
      <c r="I282" s="9">
        <v>244080584.14813992</v>
      </c>
      <c r="J282" s="9">
        <v>253886499.56248561</v>
      </c>
      <c r="K282" s="9">
        <v>264086373.70442617</v>
      </c>
      <c r="L282" s="9">
        <v>274696000.45625669</v>
      </c>
      <c r="M282" s="9">
        <v>285731967.69787031</v>
      </c>
      <c r="N282" s="9">
        <v>297211204.79065841</v>
      </c>
      <c r="O282" s="9">
        <v>309151650.10042131</v>
      </c>
      <c r="P282" s="9">
        <v>321571795.05174059</v>
      </c>
      <c r="Q282" s="9">
        <v>334490869.90087157</v>
      </c>
    </row>
    <row r="283" spans="2:17" outlineLevel="1" x14ac:dyDescent="0.25">
      <c r="B283" s="118" t="s">
        <v>1075</v>
      </c>
      <c r="C283" s="9" t="s">
        <v>11</v>
      </c>
      <c r="D283" s="9">
        <v>3752703650</v>
      </c>
      <c r="E283" s="9">
        <v>3229138644</v>
      </c>
      <c r="F283" s="9">
        <v>3415028835</v>
      </c>
      <c r="G283" s="9">
        <v>3482471205.5526209</v>
      </c>
      <c r="H283" s="9">
        <v>3622379740.4850659</v>
      </c>
      <c r="I283" s="9">
        <v>3767907947.4697237</v>
      </c>
      <c r="J283" s="9">
        <v>3919283308.8114696</v>
      </c>
      <c r="K283" s="9">
        <v>4076740269.0885029</v>
      </c>
      <c r="L283" s="9">
        <v>4240522640.7893462</v>
      </c>
      <c r="M283" s="9">
        <v>4410886493.460454</v>
      </c>
      <c r="N283" s="9">
        <v>4588093168.1484909</v>
      </c>
      <c r="O283" s="9">
        <v>4772419582.049881</v>
      </c>
      <c r="P283" s="9">
        <v>4964151190.0109577</v>
      </c>
      <c r="Q283" s="9">
        <v>5163584852.3314838</v>
      </c>
    </row>
    <row r="284" spans="2:17" outlineLevel="1" x14ac:dyDescent="0.25">
      <c r="B284" s="118" t="s">
        <v>389</v>
      </c>
      <c r="C284" s="9" t="s">
        <v>11</v>
      </c>
      <c r="D284" s="9">
        <v>53482782</v>
      </c>
      <c r="E284" s="9">
        <v>105908555</v>
      </c>
      <c r="F284" s="9">
        <v>1974759539</v>
      </c>
      <c r="G284" s="9">
        <v>2013758467.2715855</v>
      </c>
      <c r="H284" s="9">
        <v>2094661360.7153418</v>
      </c>
      <c r="I284" s="9">
        <v>2178813860.9786434</v>
      </c>
      <c r="J284" s="9">
        <v>2266347510.9775853</v>
      </c>
      <c r="K284" s="9">
        <v>2357397879.6017833</v>
      </c>
      <c r="L284" s="9">
        <v>2452105952.7874327</v>
      </c>
      <c r="M284" s="9">
        <v>2550619804.1830859</v>
      </c>
      <c r="N284" s="9">
        <v>2653090555.7117977</v>
      </c>
      <c r="O284" s="9">
        <v>2759678336.292407</v>
      </c>
      <c r="P284" s="9">
        <v>2870548211.7876</v>
      </c>
      <c r="Q284" s="9">
        <v>2985871843.3273506</v>
      </c>
    </row>
    <row r="285" spans="2:17" outlineLevel="1" x14ac:dyDescent="0.25">
      <c r="B285" s="118" t="s">
        <v>1081</v>
      </c>
      <c r="C285" s="9" t="s">
        <v>11</v>
      </c>
      <c r="D285" s="9">
        <v>6537408745</v>
      </c>
      <c r="E285" s="9">
        <v>8870692780</v>
      </c>
      <c r="F285" s="9">
        <v>8587753423</v>
      </c>
      <c r="G285" s="9">
        <v>8757350365.3837986</v>
      </c>
      <c r="H285" s="9">
        <v>9109177555.6725216</v>
      </c>
      <c r="I285" s="9">
        <v>9475136503.0368843</v>
      </c>
      <c r="J285" s="9">
        <v>9855799255.9241352</v>
      </c>
      <c r="K285" s="9">
        <v>10251755370.770311</v>
      </c>
      <c r="L285" s="9">
        <v>10663617961.441813</v>
      </c>
      <c r="M285" s="9">
        <v>11092030964.558306</v>
      </c>
      <c r="N285" s="9">
        <v>11537651572.950808</v>
      </c>
      <c r="O285" s="9">
        <v>12001176148.704788</v>
      </c>
      <c r="P285" s="9">
        <v>12483322523.484968</v>
      </c>
      <c r="Q285" s="9">
        <v>12984837210.184391</v>
      </c>
    </row>
    <row r="286" spans="2:17" outlineLevel="1" x14ac:dyDescent="0.25">
      <c r="B286" s="118" t="s">
        <v>1078</v>
      </c>
      <c r="C286" s="9" t="s">
        <v>11</v>
      </c>
      <c r="D286" s="9">
        <v>84902762579</v>
      </c>
      <c r="E286" s="9">
        <v>86844066682</v>
      </c>
      <c r="F286" s="9">
        <v>61736828794</v>
      </c>
      <c r="G286" s="9">
        <v>62956050734.850372</v>
      </c>
      <c r="H286" s="9">
        <v>65485314669.438416</v>
      </c>
      <c r="I286" s="9">
        <v>68116170932.562653</v>
      </c>
      <c r="J286" s="9">
        <v>70852731945.16835</v>
      </c>
      <c r="K286" s="9">
        <v>73699235992.050537</v>
      </c>
      <c r="L286" s="9">
        <v>76660090710.915665</v>
      </c>
      <c r="M286" s="9">
        <v>79739925322.339203</v>
      </c>
      <c r="N286" s="9">
        <v>82943464344.980988</v>
      </c>
      <c r="O286" s="9">
        <v>86275713882.851181</v>
      </c>
      <c r="P286" s="9">
        <v>89741834383.438782</v>
      </c>
      <c r="Q286" s="9">
        <v>93347192481.811249</v>
      </c>
    </row>
    <row r="287" spans="2:17" outlineLevel="1" x14ac:dyDescent="0.25"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</row>
    <row r="288" spans="2:17" outlineLevel="1" x14ac:dyDescent="0.25">
      <c r="B288" s="4" t="s">
        <v>1501</v>
      </c>
      <c r="C288" s="1" t="s">
        <v>1344</v>
      </c>
      <c r="F288" s="279">
        <v>1692712.85</v>
      </c>
      <c r="G288" s="1">
        <v>1701176</v>
      </c>
      <c r="H288" s="1">
        <v>1709682</v>
      </c>
      <c r="I288" s="1">
        <v>1718230</v>
      </c>
      <c r="J288" s="1">
        <v>1726821</v>
      </c>
      <c r="K288" s="1">
        <v>1735455</v>
      </c>
      <c r="L288" s="1">
        <v>1744132</v>
      </c>
      <c r="M288" s="1">
        <v>1752853</v>
      </c>
      <c r="N288" s="1">
        <v>1761617</v>
      </c>
      <c r="O288" s="1">
        <v>1770425</v>
      </c>
      <c r="P288" s="1">
        <v>1779277</v>
      </c>
      <c r="Q288" s="1">
        <v>1788173</v>
      </c>
    </row>
    <row r="289" spans="2:17" outlineLevel="1" x14ac:dyDescent="0.25">
      <c r="B289" s="298" t="s">
        <v>1502</v>
      </c>
      <c r="C289" s="1" t="s">
        <v>1344</v>
      </c>
      <c r="F289" s="1">
        <v>644465.75</v>
      </c>
      <c r="G289" s="1">
        <v>647687.9210327965</v>
      </c>
      <c r="H289" s="1">
        <v>650926.40632550279</v>
      </c>
      <c r="I289" s="1">
        <v>654180.88225802733</v>
      </c>
      <c r="J289" s="1">
        <v>657451.72955988953</v>
      </c>
      <c r="K289" s="1">
        <v>660738.94823108951</v>
      </c>
      <c r="L289" s="1">
        <v>664042.53827162704</v>
      </c>
      <c r="M289" s="1">
        <v>667362.88041102176</v>
      </c>
      <c r="N289" s="1">
        <v>670699.59391975426</v>
      </c>
      <c r="O289" s="1">
        <v>674053.05952734384</v>
      </c>
      <c r="P289" s="1">
        <v>677423.27723379061</v>
      </c>
      <c r="Q289" s="1">
        <v>680810.24703909457</v>
      </c>
    </row>
    <row r="290" spans="2:17" outlineLevel="1" x14ac:dyDescent="0.25">
      <c r="B290" s="298" t="s">
        <v>1503</v>
      </c>
      <c r="C290" s="1" t="s">
        <v>1344</v>
      </c>
      <c r="F290" s="1">
        <v>281509.7</v>
      </c>
      <c r="G290" s="1">
        <v>282917.17960739764</v>
      </c>
      <c r="H290" s="1">
        <v>284331.78546225367</v>
      </c>
      <c r="I290" s="1">
        <v>285753.37620376662</v>
      </c>
      <c r="J290" s="1">
        <v>287182.11813876167</v>
      </c>
      <c r="K290" s="1">
        <v>288618.01126723888</v>
      </c>
      <c r="L290" s="1">
        <v>290061.05558919813</v>
      </c>
      <c r="M290" s="1">
        <v>291511.41741146467</v>
      </c>
      <c r="N290" s="1">
        <v>292968.93042721332</v>
      </c>
      <c r="O290" s="1">
        <v>294433.76094326924</v>
      </c>
      <c r="P290" s="1">
        <v>295905.90895963245</v>
      </c>
      <c r="Q290" s="1">
        <v>297385.37447630294</v>
      </c>
    </row>
    <row r="291" spans="2:17" outlineLevel="1" x14ac:dyDescent="0.25">
      <c r="B291" s="298" t="s">
        <v>1504</v>
      </c>
      <c r="C291" s="1" t="s">
        <v>1344</v>
      </c>
      <c r="F291" s="1">
        <v>110045.15</v>
      </c>
      <c r="G291" s="1">
        <v>110595.34881914554</v>
      </c>
      <c r="H291" s="1">
        <v>111148.33336457508</v>
      </c>
      <c r="I291" s="1">
        <v>111704.04837684076</v>
      </c>
      <c r="J291" s="1">
        <v>112262.55886705768</v>
      </c>
      <c r="K291" s="1">
        <v>112823.86483522589</v>
      </c>
      <c r="L291" s="1">
        <v>113387.96628134535</v>
      </c>
      <c r="M291" s="1">
        <v>113954.92821653122</v>
      </c>
      <c r="N291" s="1">
        <v>114524.68562966837</v>
      </c>
      <c r="O291" s="1">
        <v>115097.30353187192</v>
      </c>
      <c r="P291" s="1">
        <v>115672.78192314188</v>
      </c>
      <c r="Q291" s="1">
        <v>116251.12080347826</v>
      </c>
    </row>
    <row r="292" spans="2:17" outlineLevel="1" x14ac:dyDescent="0.25">
      <c r="B292" s="298" t="s">
        <v>1505</v>
      </c>
      <c r="C292" s="1" t="s">
        <v>1344</v>
      </c>
      <c r="F292" s="1">
        <v>114475</v>
      </c>
      <c r="G292" s="1">
        <v>115047.34698504828</v>
      </c>
      <c r="H292" s="1">
        <v>115622.59183534879</v>
      </c>
      <c r="I292" s="1">
        <v>116200.67706699336</v>
      </c>
      <c r="J292" s="1">
        <v>116781.67030810924</v>
      </c>
      <c r="K292" s="1">
        <v>117365.57155869644</v>
      </c>
      <c r="L292" s="1">
        <v>117952.38081875493</v>
      </c>
      <c r="M292" s="1">
        <v>118542.16571641195</v>
      </c>
      <c r="N292" s="1">
        <v>119134.85862354031</v>
      </c>
      <c r="O292" s="1">
        <v>119730.52716826719</v>
      </c>
      <c r="P292" s="1">
        <v>120329.17135059262</v>
      </c>
      <c r="Q292" s="1">
        <v>120930.79117051659</v>
      </c>
    </row>
    <row r="293" spans="2:17" outlineLevel="1" x14ac:dyDescent="0.25">
      <c r="B293" s="298" t="s">
        <v>1506</v>
      </c>
      <c r="C293" s="1" t="s">
        <v>1344</v>
      </c>
      <c r="F293" s="1">
        <v>542217.25</v>
      </c>
      <c r="G293" s="1">
        <v>544928.20355561189</v>
      </c>
      <c r="H293" s="1">
        <v>547652.88301231945</v>
      </c>
      <c r="I293" s="1">
        <v>550391.01609437179</v>
      </c>
      <c r="J293" s="1">
        <v>553142.9231261817</v>
      </c>
      <c r="K293" s="1">
        <v>555908.6041077493</v>
      </c>
      <c r="L293" s="1">
        <v>558688.05903907446</v>
      </c>
      <c r="M293" s="1">
        <v>561481.6082445702</v>
      </c>
      <c r="N293" s="1">
        <v>564288.93139982363</v>
      </c>
      <c r="O293" s="1">
        <v>567110.34882924764</v>
      </c>
      <c r="P293" s="1">
        <v>569945.86053284223</v>
      </c>
      <c r="Q293" s="1">
        <v>572795.46651060751</v>
      </c>
    </row>
    <row r="294" spans="2:17" outlineLevel="1" x14ac:dyDescent="0.25">
      <c r="B294" s="298"/>
      <c r="C294" s="1"/>
    </row>
    <row r="295" spans="2:17" ht="15.75" outlineLevel="1" thickBot="1" x14ac:dyDescent="0.3">
      <c r="B295" s="4" t="s">
        <v>1507</v>
      </c>
      <c r="C295" s="1"/>
    </row>
    <row r="296" spans="2:17" ht="15.75" outlineLevel="1" thickBot="1" x14ac:dyDescent="0.3">
      <c r="B296" s="298" t="s">
        <v>1502</v>
      </c>
      <c r="C296" s="1" t="s">
        <v>12</v>
      </c>
      <c r="F296" s="297">
        <v>0.38072951948110983</v>
      </c>
      <c r="G296" s="8">
        <v>0.38072951948110983</v>
      </c>
      <c r="H296" s="8">
        <v>0.38072951948110983</v>
      </c>
      <c r="I296" s="8">
        <v>0.38072951948110983</v>
      </c>
      <c r="J296" s="8">
        <v>0.38072951948110983</v>
      </c>
      <c r="K296" s="8">
        <v>0.38072951948110983</v>
      </c>
      <c r="L296" s="8">
        <v>0.38072951948110983</v>
      </c>
      <c r="M296" s="8">
        <v>0.38072951948110983</v>
      </c>
      <c r="N296" s="8">
        <v>0.38072951948110983</v>
      </c>
      <c r="O296" s="8">
        <v>0.38072951948110983</v>
      </c>
      <c r="P296" s="8">
        <v>0.38072951948110983</v>
      </c>
      <c r="Q296" s="8">
        <v>0.38072951948110983</v>
      </c>
    </row>
    <row r="297" spans="2:17" ht="15.75" outlineLevel="1" thickBot="1" x14ac:dyDescent="0.3">
      <c r="B297" s="298" t="s">
        <v>1503</v>
      </c>
      <c r="C297" s="1" t="s">
        <v>12</v>
      </c>
      <c r="F297" s="297">
        <v>0.16630682516529605</v>
      </c>
      <c r="G297" s="8">
        <v>0.16630682516529605</v>
      </c>
      <c r="H297" s="8">
        <v>0.16630682516529605</v>
      </c>
      <c r="I297" s="8">
        <v>0.16630682516529605</v>
      </c>
      <c r="J297" s="8">
        <v>0.16630682516529605</v>
      </c>
      <c r="K297" s="8">
        <v>0.16630682516529605</v>
      </c>
      <c r="L297" s="8">
        <v>0.16630682516529605</v>
      </c>
      <c r="M297" s="8">
        <v>0.16630682516529605</v>
      </c>
      <c r="N297" s="8">
        <v>0.16630682516529605</v>
      </c>
      <c r="O297" s="8">
        <v>0.16630682516529605</v>
      </c>
      <c r="P297" s="8">
        <v>0.16630682516529605</v>
      </c>
      <c r="Q297" s="8">
        <v>0.16630682516529605</v>
      </c>
    </row>
    <row r="298" spans="2:17" ht="15.75" outlineLevel="1" thickBot="1" x14ac:dyDescent="0.3">
      <c r="B298" s="298" t="s">
        <v>1504</v>
      </c>
      <c r="C298" s="1" t="s">
        <v>12</v>
      </c>
      <c r="F298" s="297">
        <v>6.5011115145725981E-2</v>
      </c>
      <c r="G298" s="8">
        <v>6.5011115145725981E-2</v>
      </c>
      <c r="H298" s="8">
        <v>6.5011115145725981E-2</v>
      </c>
      <c r="I298" s="8">
        <v>6.5011115145725981E-2</v>
      </c>
      <c r="J298" s="8">
        <v>6.5011115145725981E-2</v>
      </c>
      <c r="K298" s="8">
        <v>6.5011115145725981E-2</v>
      </c>
      <c r="L298" s="8">
        <v>6.5011115145725981E-2</v>
      </c>
      <c r="M298" s="8">
        <v>6.5011115145725981E-2</v>
      </c>
      <c r="N298" s="8">
        <v>6.5011115145725981E-2</v>
      </c>
      <c r="O298" s="8">
        <v>6.5011115145725981E-2</v>
      </c>
      <c r="P298" s="8">
        <v>6.5011115145725981E-2</v>
      </c>
      <c r="Q298" s="8">
        <v>6.5011115145725981E-2</v>
      </c>
    </row>
    <row r="299" spans="2:17" ht="15.75" outlineLevel="1" thickBot="1" x14ac:dyDescent="0.3">
      <c r="B299" s="298" t="s">
        <v>1505</v>
      </c>
      <c r="C299" s="1" t="s">
        <v>12</v>
      </c>
      <c r="F299" s="297">
        <v>6.7628127239655556E-2</v>
      </c>
      <c r="G299" s="8">
        <v>6.7628127239655556E-2</v>
      </c>
      <c r="H299" s="8">
        <v>6.7628127239655556E-2</v>
      </c>
      <c r="I299" s="8">
        <v>6.7628127239655556E-2</v>
      </c>
      <c r="J299" s="8">
        <v>6.7628127239655556E-2</v>
      </c>
      <c r="K299" s="8">
        <v>6.7628127239655556E-2</v>
      </c>
      <c r="L299" s="8">
        <v>6.7628127239655556E-2</v>
      </c>
      <c r="M299" s="8">
        <v>6.7628127239655556E-2</v>
      </c>
      <c r="N299" s="8">
        <v>6.7628127239655556E-2</v>
      </c>
      <c r="O299" s="8">
        <v>6.7628127239655556E-2</v>
      </c>
      <c r="P299" s="8">
        <v>6.7628127239655556E-2</v>
      </c>
      <c r="Q299" s="8">
        <v>6.7628127239655556E-2</v>
      </c>
    </row>
    <row r="300" spans="2:17" ht="15.75" outlineLevel="1" thickBot="1" x14ac:dyDescent="0.3">
      <c r="B300" s="298" t="s">
        <v>1506</v>
      </c>
      <c r="C300" s="1" t="s">
        <v>12</v>
      </c>
      <c r="F300" s="297">
        <v>0.32032441296821251</v>
      </c>
      <c r="G300" s="8">
        <v>0.32032441296821251</v>
      </c>
      <c r="H300" s="8">
        <v>0.32032441296821251</v>
      </c>
      <c r="I300" s="8">
        <v>0.32032441296821251</v>
      </c>
      <c r="J300" s="8">
        <v>0.32032441296821251</v>
      </c>
      <c r="K300" s="8">
        <v>0.32032441296821251</v>
      </c>
      <c r="L300" s="8">
        <v>0.32032441296821251</v>
      </c>
      <c r="M300" s="8">
        <v>0.32032441296821251</v>
      </c>
      <c r="N300" s="8">
        <v>0.32032441296821251</v>
      </c>
      <c r="O300" s="8">
        <v>0.32032441296821251</v>
      </c>
      <c r="P300" s="8">
        <v>0.32032441296821251</v>
      </c>
      <c r="Q300" s="8">
        <v>0.32032441296821251</v>
      </c>
    </row>
    <row r="301" spans="2:17" outlineLevel="1" x14ac:dyDescent="0.25">
      <c r="B301" s="298"/>
      <c r="C301" s="1"/>
    </row>
    <row r="302" spans="2:17" outlineLevel="1" x14ac:dyDescent="0.25">
      <c r="B302" s="4" t="s">
        <v>1508</v>
      </c>
      <c r="C302" s="1"/>
      <c r="F302" s="1">
        <v>792577.96785593021</v>
      </c>
      <c r="G302" s="1">
        <v>820318.19673088763</v>
      </c>
      <c r="H302" s="1">
        <v>849029.33361646859</v>
      </c>
      <c r="I302" s="1">
        <v>878745.36029304506</v>
      </c>
      <c r="J302" s="1">
        <v>909501.44790330145</v>
      </c>
      <c r="K302" s="1">
        <v>941333.99857991689</v>
      </c>
      <c r="L302" s="1">
        <v>974280.68853021413</v>
      </c>
      <c r="M302" s="1">
        <v>1008380.5126287711</v>
      </c>
      <c r="N302" s="1">
        <v>1043673.8305707783</v>
      </c>
      <c r="O302" s="1">
        <v>1080202.4146407554</v>
      </c>
      <c r="P302" s="1">
        <v>1118009.4991531819</v>
      </c>
      <c r="Q302" s="1">
        <v>1157139.8316235433</v>
      </c>
    </row>
    <row r="303" spans="2:17" outlineLevel="1" x14ac:dyDescent="0.25">
      <c r="B303" s="298" t="s">
        <v>1502</v>
      </c>
      <c r="C303" s="1" t="s">
        <v>5</v>
      </c>
      <c r="F303" s="279">
        <v>719690.4</v>
      </c>
      <c r="G303" s="1">
        <v>744879.56400000001</v>
      </c>
      <c r="H303" s="1">
        <v>770950.34873999993</v>
      </c>
      <c r="I303" s="1">
        <v>797933.61094589985</v>
      </c>
      <c r="J303" s="1">
        <v>825861.28732900624</v>
      </c>
      <c r="K303" s="1">
        <v>854766.43238552136</v>
      </c>
      <c r="L303" s="1">
        <v>884683.25751901453</v>
      </c>
      <c r="M303" s="1">
        <v>915647.17153217993</v>
      </c>
      <c r="N303" s="1">
        <v>947694.8225358061</v>
      </c>
      <c r="O303" s="1">
        <v>980864.14132455923</v>
      </c>
      <c r="P303" s="1">
        <v>1015194.3862709188</v>
      </c>
      <c r="Q303" s="1">
        <v>1050726.1897904009</v>
      </c>
    </row>
    <row r="304" spans="2:17" outlineLevel="1" x14ac:dyDescent="0.25">
      <c r="B304" s="298" t="s">
        <v>1503</v>
      </c>
      <c r="C304" s="1" t="s">
        <v>5</v>
      </c>
      <c r="F304" s="279">
        <v>802238.4</v>
      </c>
      <c r="G304" s="1">
        <v>830316.74399999995</v>
      </c>
      <c r="H304" s="1">
        <v>859377.83003999991</v>
      </c>
      <c r="I304" s="1">
        <v>889456.05409139988</v>
      </c>
      <c r="J304" s="1">
        <v>920587.01598459878</v>
      </c>
      <c r="K304" s="1">
        <v>952807.56154405966</v>
      </c>
      <c r="L304" s="1">
        <v>986155.82619810163</v>
      </c>
      <c r="M304" s="1">
        <v>1020671.2801150351</v>
      </c>
      <c r="N304" s="1">
        <v>1056394.7749190612</v>
      </c>
      <c r="O304" s="1">
        <v>1093368.5920412282</v>
      </c>
      <c r="P304" s="1">
        <v>1131636.4927626711</v>
      </c>
      <c r="Q304" s="1">
        <v>1171243.7700093645</v>
      </c>
    </row>
    <row r="305" spans="2:17" outlineLevel="1" x14ac:dyDescent="0.25">
      <c r="B305" s="298" t="s">
        <v>1504</v>
      </c>
      <c r="C305" s="1" t="s">
        <v>5</v>
      </c>
      <c r="F305" s="279">
        <v>827643.6</v>
      </c>
      <c r="G305" s="1">
        <v>856611.12599999993</v>
      </c>
      <c r="H305" s="1">
        <v>886592.51540999988</v>
      </c>
      <c r="I305" s="1">
        <v>917623.25344934978</v>
      </c>
      <c r="J305" s="1">
        <v>949740.06732007698</v>
      </c>
      <c r="K305" s="1">
        <v>982980.96967627958</v>
      </c>
      <c r="L305" s="1">
        <v>1017385.3036149493</v>
      </c>
      <c r="M305" s="1">
        <v>1052993.7892414725</v>
      </c>
      <c r="N305" s="1">
        <v>1089848.5718649239</v>
      </c>
      <c r="O305" s="1">
        <v>1127993.2718801962</v>
      </c>
      <c r="P305" s="1">
        <v>1167473.0363960029</v>
      </c>
      <c r="Q305" s="1">
        <v>1208334.5926698628</v>
      </c>
    </row>
    <row r="306" spans="2:17" outlineLevel="1" x14ac:dyDescent="0.25">
      <c r="B306" s="298" t="s">
        <v>1505</v>
      </c>
      <c r="C306" s="1" t="s">
        <v>5</v>
      </c>
      <c r="F306" s="279">
        <v>804463.2</v>
      </c>
      <c r="G306" s="1">
        <v>832619.41199999989</v>
      </c>
      <c r="H306" s="1">
        <v>861761.09141999984</v>
      </c>
      <c r="I306" s="1">
        <v>891922.72961969976</v>
      </c>
      <c r="J306" s="1">
        <v>923140.02515638922</v>
      </c>
      <c r="K306" s="1">
        <v>955449.92603686277</v>
      </c>
      <c r="L306" s="1">
        <v>988890.67344815284</v>
      </c>
      <c r="M306" s="1">
        <v>1023501.8470188382</v>
      </c>
      <c r="N306" s="1">
        <v>1059324.4116644973</v>
      </c>
      <c r="O306" s="1">
        <v>1096400.7660727547</v>
      </c>
      <c r="P306" s="1">
        <v>1134774.7928853012</v>
      </c>
      <c r="Q306" s="1">
        <v>1174491.9106362867</v>
      </c>
    </row>
    <row r="307" spans="2:17" outlineLevel="1" x14ac:dyDescent="0.25">
      <c r="B307" s="298" t="s">
        <v>1506</v>
      </c>
      <c r="C307" s="1" t="s">
        <v>5</v>
      </c>
      <c r="F307" s="279">
        <v>864568.8</v>
      </c>
      <c r="G307" s="1">
        <v>894828.70799999998</v>
      </c>
      <c r="H307" s="1">
        <v>926147.71277999994</v>
      </c>
      <c r="I307" s="1">
        <v>958562.88272729982</v>
      </c>
      <c r="J307" s="1">
        <v>992112.58362275525</v>
      </c>
      <c r="K307" s="1">
        <v>1026836.5240495516</v>
      </c>
      <c r="L307" s="1">
        <v>1062775.8023912858</v>
      </c>
      <c r="M307" s="1">
        <v>1099972.9554749806</v>
      </c>
      <c r="N307" s="1">
        <v>1138472.0089166048</v>
      </c>
      <c r="O307" s="1">
        <v>1178318.5292286859</v>
      </c>
      <c r="P307" s="1">
        <v>1219559.6777516899</v>
      </c>
      <c r="Q307" s="1">
        <v>1262244.266472999</v>
      </c>
    </row>
    <row r="308" spans="2:17" outlineLevel="1" x14ac:dyDescent="0.25">
      <c r="B308" s="4"/>
      <c r="C308" s="1"/>
      <c r="F308" s="279"/>
    </row>
    <row r="309" spans="2:17" outlineLevel="1" x14ac:dyDescent="0.25">
      <c r="B309" s="4" t="s">
        <v>1509</v>
      </c>
      <c r="C309" s="1" t="s">
        <v>11</v>
      </c>
      <c r="F309" s="9">
        <v>1341606910816.6201</v>
      </c>
      <c r="G309" s="9">
        <v>1395505628641.8645</v>
      </c>
      <c r="H309" s="9">
        <v>1451570169156.0713</v>
      </c>
      <c r="I309" s="9">
        <v>1509886640416.3188</v>
      </c>
      <c r="J309" s="9">
        <v>1570546199769.8269</v>
      </c>
      <c r="K309" s="9">
        <v>1633642794505.5098</v>
      </c>
      <c r="L309" s="9">
        <v>1699274125847.5793</v>
      </c>
      <c r="M309" s="9">
        <v>1767542806702.8794</v>
      </c>
      <c r="N309" s="9">
        <v>1838553562388.6028</v>
      </c>
      <c r="O309" s="9">
        <v>1912417359940.3594</v>
      </c>
      <c r="P309" s="9">
        <v>1989248587624.7759</v>
      </c>
      <c r="Q309" s="9">
        <v>2069166204133.7661</v>
      </c>
    </row>
    <row r="310" spans="2:17" outlineLevel="1" x14ac:dyDescent="0.25">
      <c r="B310" s="298" t="s">
        <v>1502</v>
      </c>
      <c r="C310" s="1" t="s">
        <v>11</v>
      </c>
      <c r="F310" s="9">
        <v>463815813403.79999</v>
      </c>
      <c r="G310" s="9">
        <v>482449496226.97589</v>
      </c>
      <c r="H310" s="9">
        <v>501831939960.72125</v>
      </c>
      <c r="I310" s="9">
        <v>521992913591.9223</v>
      </c>
      <c r="J310" s="9">
        <v>542963931731.01202</v>
      </c>
      <c r="K310" s="9">
        <v>564777473517.65002</v>
      </c>
      <c r="L310" s="9">
        <v>587467315889.33789</v>
      </c>
      <c r="M310" s="9">
        <v>611068933833.92053</v>
      </c>
      <c r="N310" s="9">
        <v>635618532634.61877</v>
      </c>
      <c r="O310" s="9">
        <v>661154475440.4801</v>
      </c>
      <c r="P310" s="9">
        <v>687716308176.99255</v>
      </c>
      <c r="Q310" s="9">
        <v>715345156841.64941</v>
      </c>
    </row>
    <row r="311" spans="2:17" outlineLevel="1" x14ac:dyDescent="0.25">
      <c r="B311" s="298" t="s">
        <v>1503</v>
      </c>
      <c r="C311" s="1" t="s">
        <v>11</v>
      </c>
      <c r="F311" s="9">
        <v>225837891312.48001</v>
      </c>
      <c r="G311" s="9">
        <v>234910871393.27759</v>
      </c>
      <c r="H311" s="9">
        <v>244348432801.95035</v>
      </c>
      <c r="I311" s="9">
        <v>254165070441.49759</v>
      </c>
      <c r="J311" s="9">
        <v>264376129181.49911</v>
      </c>
      <c r="K311" s="9">
        <v>274997423533.23383</v>
      </c>
      <c r="L311" s="9">
        <v>286045399922.45917</v>
      </c>
      <c r="M311" s="9">
        <v>297537331577.508</v>
      </c>
      <c r="N311" s="9">
        <v>309490847316.93414</v>
      </c>
      <c r="O311" s="9">
        <v>321924626651.94586</v>
      </c>
      <c r="P311" s="9">
        <v>334857925002.82874</v>
      </c>
      <c r="Q311" s="9">
        <v>348310767147.27167</v>
      </c>
    </row>
    <row r="312" spans="2:17" outlineLevel="1" x14ac:dyDescent="0.25">
      <c r="B312" s="298" t="s">
        <v>1504</v>
      </c>
      <c r="C312" s="1" t="s">
        <v>11</v>
      </c>
      <c r="F312" s="9">
        <v>91078164108.539993</v>
      </c>
      <c r="G312" s="9">
        <v>94737206282.331024</v>
      </c>
      <c r="H312" s="9">
        <v>98543280461.327835</v>
      </c>
      <c r="I312" s="9">
        <v>102502232295.02017</v>
      </c>
      <c r="J312" s="9">
        <v>106620250215.92346</v>
      </c>
      <c r="K312" s="9">
        <v>110903712058.35585</v>
      </c>
      <c r="L312" s="9">
        <v>115359250501.42818</v>
      </c>
      <c r="M312" s="9">
        <v>119993831665.46519</v>
      </c>
      <c r="N312" s="9">
        <v>124814565076.77345</v>
      </c>
      <c r="O312" s="9">
        <v>129828983995.50427</v>
      </c>
      <c r="P312" s="9">
        <v>135044853940.18312</v>
      </c>
      <c r="Q312" s="9">
        <v>140470250703.48593</v>
      </c>
    </row>
    <row r="313" spans="2:17" outlineLevel="1" x14ac:dyDescent="0.25">
      <c r="B313" s="298" t="s">
        <v>1505</v>
      </c>
      <c r="C313" s="1" t="s">
        <v>11</v>
      </c>
      <c r="F313" s="9">
        <v>92090924820</v>
      </c>
      <c r="G313" s="9">
        <v>95790654398.850861</v>
      </c>
      <c r="H313" s="9">
        <v>99639050932.83934</v>
      </c>
      <c r="I313" s="9">
        <v>103642025073.24997</v>
      </c>
      <c r="J313" s="9">
        <v>107805834066.03311</v>
      </c>
      <c r="K313" s="9">
        <v>112136926665.03064</v>
      </c>
      <c r="L313" s="9">
        <v>116642009302.67155</v>
      </c>
      <c r="M313" s="9">
        <v>121328125560.36082</v>
      </c>
      <c r="N313" s="9">
        <v>126202464020.1149</v>
      </c>
      <c r="O313" s="9">
        <v>131272641709.58292</v>
      </c>
      <c r="P313" s="9">
        <v>136546510497.42865</v>
      </c>
      <c r="Q313" s="9">
        <v>142032235976.61783</v>
      </c>
    </row>
    <row r="314" spans="2:17" outlineLevel="1" x14ac:dyDescent="0.25">
      <c r="B314" s="298" t="s">
        <v>1506</v>
      </c>
      <c r="C314" s="1" t="s">
        <v>11</v>
      </c>
      <c r="F314" s="9">
        <v>468784117171.80005</v>
      </c>
      <c r="G314" s="9">
        <v>487617400340.4292</v>
      </c>
      <c r="H314" s="9">
        <v>507207464999.23254</v>
      </c>
      <c r="I314" s="9">
        <v>527584399014.62872</v>
      </c>
      <c r="J314" s="9">
        <v>548780054575.35925</v>
      </c>
      <c r="K314" s="9">
        <v>570827258731.2395</v>
      </c>
      <c r="L314" s="9">
        <v>593760150231.68237</v>
      </c>
      <c r="M314" s="9">
        <v>617614584065.62512</v>
      </c>
      <c r="N314" s="9">
        <v>642427153340.16138</v>
      </c>
      <c r="O314" s="9">
        <v>668236632142.84607</v>
      </c>
      <c r="P314" s="9">
        <v>695082990007.34265</v>
      </c>
      <c r="Q314" s="9">
        <v>723007793464.74109</v>
      </c>
    </row>
    <row r="315" spans="2:17" outlineLevel="1" x14ac:dyDescent="0.25">
      <c r="B315" s="4"/>
      <c r="C315" s="1"/>
      <c r="F315" s="9"/>
    </row>
    <row r="316" spans="2:17" outlineLevel="1" x14ac:dyDescent="0.25">
      <c r="B316" s="118" t="s">
        <v>1353</v>
      </c>
      <c r="C316" s="9" t="s">
        <v>12</v>
      </c>
      <c r="D316" s="9"/>
      <c r="E316" s="6">
        <v>0.1340092164040152</v>
      </c>
      <c r="F316" s="6">
        <v>6.9974308560087461E-2</v>
      </c>
      <c r="G316" s="6">
        <v>1.9748697247126135E-2</v>
      </c>
      <c r="H316" s="6">
        <v>4.0175073008319018E-2</v>
      </c>
      <c r="I316" s="6">
        <v>4.0174751795947872E-2</v>
      </c>
      <c r="J316" s="6">
        <v>4.0174909645390722E-2</v>
      </c>
      <c r="K316" s="6">
        <v>4.0174937066435934E-2</v>
      </c>
      <c r="L316" s="6">
        <v>4.0174835994019054E-2</v>
      </c>
      <c r="M316" s="6">
        <v>4.0175201762251422E-2</v>
      </c>
      <c r="N316" s="6">
        <v>4.0174843526525228E-2</v>
      </c>
      <c r="O316" s="6">
        <v>4.0174950060086756E-2</v>
      </c>
      <c r="P316" s="6">
        <v>4.0174926924326115E-2</v>
      </c>
      <c r="Q316" s="6">
        <v>4.0174776046675076E-2</v>
      </c>
    </row>
    <row r="317" spans="2:17" outlineLevel="1" x14ac:dyDescent="0.25"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</row>
    <row r="318" spans="2:17" outlineLevel="1" x14ac:dyDescent="0.25">
      <c r="B318" s="118" t="s">
        <v>1351</v>
      </c>
      <c r="C318" s="9" t="s">
        <v>1344</v>
      </c>
      <c r="D318" s="9"/>
      <c r="E318" s="9"/>
      <c r="F318" s="279">
        <v>1692712.85</v>
      </c>
      <c r="G318" s="279">
        <v>1701176</v>
      </c>
      <c r="H318" s="279">
        <v>1709682</v>
      </c>
      <c r="I318" s="279">
        <v>1718230</v>
      </c>
      <c r="J318" s="279">
        <v>1726821</v>
      </c>
      <c r="K318" s="279">
        <v>1735455</v>
      </c>
      <c r="L318" s="279">
        <v>1744132</v>
      </c>
      <c r="M318" s="279">
        <v>1752853</v>
      </c>
      <c r="N318" s="279">
        <v>1761617</v>
      </c>
      <c r="O318" s="279">
        <v>1770425</v>
      </c>
      <c r="P318" s="279">
        <v>1779277</v>
      </c>
      <c r="Q318" s="279">
        <v>1788173</v>
      </c>
    </row>
    <row r="319" spans="2:17" outlineLevel="1" x14ac:dyDescent="0.25">
      <c r="B319" s="118" t="s">
        <v>1352</v>
      </c>
      <c r="C319" s="9" t="s">
        <v>12</v>
      </c>
      <c r="D319" s="9"/>
      <c r="E319" s="9"/>
      <c r="F319" s="9"/>
      <c r="G319" s="6">
        <v>4.9997552744991403E-3</v>
      </c>
      <c r="H319" s="6">
        <v>5.000070539438628E-3</v>
      </c>
      <c r="I319" s="6">
        <v>4.9997601893216892E-3</v>
      </c>
      <c r="J319" s="6">
        <v>4.9999127008608646E-3</v>
      </c>
      <c r="K319" s="6">
        <v>4.9999391946240479E-3</v>
      </c>
      <c r="L319" s="6">
        <v>4.9998415401149021E-3</v>
      </c>
      <c r="M319" s="6">
        <v>5.0001949393738698E-3</v>
      </c>
      <c r="N319" s="6">
        <v>4.9998488178986111E-3</v>
      </c>
      <c r="O319" s="6">
        <v>4.9999517488761303E-3</v>
      </c>
      <c r="P319" s="6">
        <v>4.999929395484104E-3</v>
      </c>
      <c r="Q319" s="6">
        <v>4.9997836199759949E-3</v>
      </c>
    </row>
    <row r="320" spans="2:17" outlineLevel="1" x14ac:dyDescent="0.25"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</row>
    <row r="321" spans="2:18" outlineLevel="1" x14ac:dyDescent="0.25">
      <c r="B321" s="10" t="s">
        <v>1159</v>
      </c>
      <c r="D321" s="9"/>
      <c r="E321" s="6">
        <v>3.8151365739337438E-2</v>
      </c>
      <c r="F321" s="6">
        <v>1.2640410312484019E-2</v>
      </c>
      <c r="G321" s="7">
        <v>1.2500000000000001E-2</v>
      </c>
      <c r="H321" s="6">
        <v>1.2500000000000001E-2</v>
      </c>
      <c r="I321" s="6">
        <v>1.2500000000000001E-2</v>
      </c>
      <c r="J321" s="6">
        <v>1.2500000000000001E-2</v>
      </c>
      <c r="K321" s="6">
        <v>1.2500000000000001E-2</v>
      </c>
      <c r="L321" s="6">
        <v>1.2500000000000001E-2</v>
      </c>
      <c r="M321" s="6">
        <v>1.2500000000000001E-2</v>
      </c>
      <c r="N321" s="6">
        <v>1.2500000000000001E-2</v>
      </c>
      <c r="O321" s="6">
        <v>1.2500000000000001E-2</v>
      </c>
      <c r="P321" s="6">
        <v>1.2500000000000001E-2</v>
      </c>
      <c r="Q321" s="6">
        <v>1.2500000000000001E-2</v>
      </c>
    </row>
    <row r="322" spans="2:18" outlineLevel="1" x14ac:dyDescent="0.25">
      <c r="B322" s="10" t="s">
        <v>1160</v>
      </c>
      <c r="C322" s="9" t="s">
        <v>11</v>
      </c>
      <c r="D322" s="9"/>
      <c r="E322" s="9"/>
      <c r="F322" s="9"/>
      <c r="G322" s="9">
        <v>18411760621.8409</v>
      </c>
      <c r="H322" s="9">
        <v>19151454449.035049</v>
      </c>
      <c r="I322" s="9">
        <v>19920859378.056438</v>
      </c>
      <c r="J322" s="9">
        <v>20721178103.628387</v>
      </c>
      <c r="K322" s="9">
        <v>21553650129.884068</v>
      </c>
      <c r="L322" s="9">
        <v>22419564488.924625</v>
      </c>
      <c r="M322" s="9">
        <v>23320275015.68898</v>
      </c>
      <c r="N322" s="9">
        <v>24257163415.439823</v>
      </c>
      <c r="O322" s="9">
        <v>25231693744.254475</v>
      </c>
      <c r="P322" s="9">
        <v>26245375196.606873</v>
      </c>
      <c r="Q322" s="9">
        <v>27299777267.391521</v>
      </c>
    </row>
    <row r="323" spans="2:18" outlineLevel="1" x14ac:dyDescent="0.25">
      <c r="B323" s="108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</row>
    <row r="324" spans="2:18" outlineLevel="1" x14ac:dyDescent="0.25">
      <c r="B324" s="108" t="s">
        <v>1476</v>
      </c>
      <c r="C324" s="9" t="s">
        <v>11</v>
      </c>
      <c r="D324" s="9"/>
      <c r="E324" s="9"/>
      <c r="F324" s="9"/>
      <c r="G324" s="103">
        <v>4418822549.2418156</v>
      </c>
      <c r="H324" s="103">
        <v>5981901800.9134121</v>
      </c>
      <c r="I324" s="103">
        <v>10953581745.110725</v>
      </c>
      <c r="J324" s="103">
        <v>15982743875.427013</v>
      </c>
      <c r="K324" s="103">
        <v>16338194820.056437</v>
      </c>
      <c r="L324" s="103">
        <v>16760171315.657436</v>
      </c>
      <c r="M324" s="103">
        <v>17186625400.691048</v>
      </c>
      <c r="N324" s="103">
        <v>17748051568.805046</v>
      </c>
      <c r="O324" s="103">
        <v>18461079517.943188</v>
      </c>
      <c r="P324" s="103">
        <v>19202753182.21685</v>
      </c>
      <c r="Q324" s="103">
        <v>19974221062.425137</v>
      </c>
    </row>
    <row r="325" spans="2:18" outlineLevel="1" x14ac:dyDescent="0.25">
      <c r="B325" s="108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</row>
    <row r="326" spans="2:18" s="6" customFormat="1" outlineLevel="1" x14ac:dyDescent="0.25">
      <c r="B326" s="118" t="s">
        <v>1165</v>
      </c>
      <c r="D326" s="6">
        <v>2.9559611426428268E-3</v>
      </c>
      <c r="E326" s="6">
        <v>1.2571558231698262E-3</v>
      </c>
      <c r="F326" s="6">
        <v>2.8919312857978133E-3</v>
      </c>
      <c r="G326" s="7">
        <v>3.0000000000000001E-3</v>
      </c>
      <c r="H326" s="6">
        <v>3.0000000000000001E-3</v>
      </c>
      <c r="I326" s="6">
        <v>3.0000000000000001E-3</v>
      </c>
      <c r="J326" s="6">
        <v>3.0000000000000001E-3</v>
      </c>
      <c r="K326" s="6">
        <v>3.0000000000000001E-3</v>
      </c>
      <c r="L326" s="6">
        <v>3.0000000000000001E-3</v>
      </c>
      <c r="M326" s="6">
        <v>3.0000000000000001E-3</v>
      </c>
      <c r="N326" s="6">
        <v>3.0000000000000001E-3</v>
      </c>
      <c r="O326" s="6">
        <v>3.0000000000000001E-3</v>
      </c>
      <c r="P326" s="6">
        <v>3.0000000000000001E-3</v>
      </c>
      <c r="Q326" s="6">
        <v>3.0000000000000001E-3</v>
      </c>
    </row>
    <row r="327" spans="2:18" outlineLevel="1" x14ac:dyDescent="0.25">
      <c r="B327" s="109" t="s">
        <v>1166</v>
      </c>
      <c r="C327" s="9" t="s">
        <v>11</v>
      </c>
      <c r="D327" s="9"/>
      <c r="E327" s="9"/>
      <c r="F327" s="9"/>
      <c r="G327" s="9">
        <v>4418822549.2418156</v>
      </c>
      <c r="H327" s="9">
        <v>4596349067.7684116</v>
      </c>
      <c r="I327" s="9">
        <v>4781006250.7335453</v>
      </c>
      <c r="J327" s="9">
        <v>4973082744.8708134</v>
      </c>
      <c r="K327" s="9">
        <v>5172876031.1721764</v>
      </c>
      <c r="L327" s="9">
        <v>5380695477.3419104</v>
      </c>
      <c r="M327" s="9">
        <v>5596866003.7653542</v>
      </c>
      <c r="N327" s="9">
        <v>5821719219.7055578</v>
      </c>
      <c r="O327" s="9">
        <v>6055606498.6210737</v>
      </c>
      <c r="P327" s="9">
        <v>6298890047.1856499</v>
      </c>
      <c r="Q327" s="9">
        <v>6551946544.1739645</v>
      </c>
    </row>
    <row r="328" spans="2:18" outlineLevel="1" x14ac:dyDescent="0.25">
      <c r="B328" s="10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</row>
    <row r="329" spans="2:18" s="6" customFormat="1" outlineLevel="1" x14ac:dyDescent="0.25">
      <c r="B329" s="118" t="s">
        <v>1472</v>
      </c>
      <c r="C329" s="6" t="s">
        <v>1473</v>
      </c>
      <c r="G329" s="7">
        <v>3.5000000000000003E-2</v>
      </c>
      <c r="H329" s="6">
        <v>3.5000000000000003E-2</v>
      </c>
      <c r="I329" s="6">
        <v>3.5000000000000003E-2</v>
      </c>
      <c r="J329" s="6">
        <v>3.5000000000000003E-2</v>
      </c>
      <c r="K329" s="6">
        <v>3.5000000000000003E-2</v>
      </c>
      <c r="L329" s="6">
        <v>3.5000000000000003E-2</v>
      </c>
      <c r="M329" s="6">
        <v>3.5000000000000003E-2</v>
      </c>
      <c r="N329" s="6">
        <v>3.5000000000000003E-2</v>
      </c>
      <c r="O329" s="6">
        <v>3.5000000000000003E-2</v>
      </c>
      <c r="P329" s="6">
        <v>3.5000000000000003E-2</v>
      </c>
      <c r="Q329" s="6">
        <v>3.5000000000000003E-2</v>
      </c>
    </row>
    <row r="330" spans="2:18" s="103" customFormat="1" outlineLevel="1" x14ac:dyDescent="0.25">
      <c r="B330" s="274" t="s">
        <v>1516</v>
      </c>
      <c r="C330" s="103" t="s">
        <v>11</v>
      </c>
      <c r="G330" s="103">
        <v>39587220947</v>
      </c>
      <c r="H330" s="103">
        <v>313131378731.69592</v>
      </c>
      <c r="I330" s="103">
        <v>315992114442.94397</v>
      </c>
      <c r="J330" s="103">
        <v>322026102064.72803</v>
      </c>
      <c r="K330" s="103">
        <v>328229660124.73041</v>
      </c>
      <c r="L330" s="103">
        <v>334042305413.88062</v>
      </c>
      <c r="M330" s="103">
        <v>347462400248.94727</v>
      </c>
      <c r="N330" s="103">
        <v>361421772283.74481</v>
      </c>
      <c r="O330" s="103">
        <v>375941835432.32373</v>
      </c>
      <c r="P330" s="103">
        <v>391045279896.31464</v>
      </c>
      <c r="Q330" s="103">
        <v>406755495440.25171</v>
      </c>
    </row>
    <row r="331" spans="2:18" outlineLevel="1" x14ac:dyDescent="0.25">
      <c r="B331" s="109" t="s">
        <v>1166</v>
      </c>
      <c r="C331" s="9" t="s">
        <v>11</v>
      </c>
      <c r="D331" s="9"/>
      <c r="E331" s="9"/>
      <c r="F331" s="9"/>
      <c r="G331" s="9"/>
      <c r="H331" s="9">
        <v>1385552733.1450002</v>
      </c>
      <c r="I331" s="9">
        <v>6172575494.3771791</v>
      </c>
      <c r="J331" s="9">
        <v>11009661130.5562</v>
      </c>
      <c r="K331" s="9">
        <v>11165318788.88426</v>
      </c>
      <c r="L331" s="9">
        <v>11379475838.315525</v>
      </c>
      <c r="M331" s="9">
        <v>11589759396.925695</v>
      </c>
      <c r="N331" s="9">
        <v>11926332349.099489</v>
      </c>
      <c r="O331" s="9">
        <v>12405473019.322113</v>
      </c>
      <c r="P331" s="9">
        <v>12903863135.031202</v>
      </c>
      <c r="Q331" s="9">
        <v>13422274518.251173</v>
      </c>
      <c r="R331" s="9"/>
    </row>
    <row r="332" spans="2:18" x14ac:dyDescent="0.25"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</row>
    <row r="333" spans="2:18" s="16" customFormat="1" x14ac:dyDescent="0.25">
      <c r="B333" s="17" t="s">
        <v>1126</v>
      </c>
      <c r="C333" s="17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</row>
    <row r="334" spans="2:18" outlineLevel="1" x14ac:dyDescent="0.25"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</row>
    <row r="335" spans="2:18" s="6" customFormat="1" outlineLevel="1" x14ac:dyDescent="0.25">
      <c r="B335" s="117" t="s">
        <v>1080</v>
      </c>
    </row>
    <row r="336" spans="2:18" s="6" customFormat="1" outlineLevel="1" x14ac:dyDescent="0.25">
      <c r="B336" s="118" t="s">
        <v>1080</v>
      </c>
      <c r="D336" s="6">
        <v>1</v>
      </c>
      <c r="E336" s="6">
        <v>0.95087075177048752</v>
      </c>
      <c r="F336" s="6">
        <v>0.9757818713257026</v>
      </c>
      <c r="G336" s="119">
        <v>0.97499999999999998</v>
      </c>
      <c r="H336" s="6">
        <v>0.97499999999999998</v>
      </c>
      <c r="I336" s="6">
        <v>0.97499999999999998</v>
      </c>
      <c r="J336" s="6">
        <v>0.97499999999999998</v>
      </c>
      <c r="K336" s="6">
        <v>0.97499999999999998</v>
      </c>
      <c r="L336" s="6">
        <v>0.97499999999999998</v>
      </c>
      <c r="M336" s="6">
        <v>0.97499999999999998</v>
      </c>
      <c r="N336" s="6">
        <v>0.97499999999999998</v>
      </c>
      <c r="O336" s="6">
        <v>0.97499999999999998</v>
      </c>
      <c r="P336" s="6">
        <v>0.97499999999999998</v>
      </c>
      <c r="Q336" s="6">
        <v>0.97499999999999998</v>
      </c>
    </row>
    <row r="337" spans="2:17" s="6" customFormat="1" outlineLevel="1" x14ac:dyDescent="0.25">
      <c r="B337" s="118" t="s">
        <v>1059</v>
      </c>
      <c r="D337" s="6">
        <v>0</v>
      </c>
      <c r="E337" s="6">
        <v>4.9129248229512451E-2</v>
      </c>
      <c r="F337" s="6">
        <v>2.4218128674297405E-2</v>
      </c>
      <c r="G337" s="119">
        <v>2.5000000000000022E-2</v>
      </c>
      <c r="H337" s="6">
        <v>2.5000000000000022E-2</v>
      </c>
      <c r="I337" s="6">
        <v>2.5000000000000022E-2</v>
      </c>
      <c r="J337" s="6">
        <v>2.5000000000000022E-2</v>
      </c>
      <c r="K337" s="6">
        <v>2.5000000000000022E-2</v>
      </c>
      <c r="L337" s="6">
        <v>2.5000000000000022E-2</v>
      </c>
      <c r="M337" s="6">
        <v>2.5000000000000022E-2</v>
      </c>
      <c r="N337" s="6">
        <v>2.5000000000000022E-2</v>
      </c>
      <c r="O337" s="6">
        <v>2.5000000000000022E-2</v>
      </c>
      <c r="P337" s="6">
        <v>2.5000000000000022E-2</v>
      </c>
      <c r="Q337" s="6">
        <v>2.5000000000000022E-2</v>
      </c>
    </row>
    <row r="338" spans="2:17" outlineLevel="1" x14ac:dyDescent="0.25"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</row>
    <row r="339" spans="2:17" s="102" customFormat="1" outlineLevel="1" x14ac:dyDescent="0.25">
      <c r="B339" s="102" t="s">
        <v>1499</v>
      </c>
      <c r="D339" s="102">
        <v>1.0573197429737109</v>
      </c>
      <c r="E339" s="102">
        <v>1.0483184022343222</v>
      </c>
      <c r="F339" s="102">
        <v>1.2458603063660443</v>
      </c>
      <c r="G339" s="295">
        <v>1.0204283615122978</v>
      </c>
      <c r="H339" s="295">
        <v>0.98997843307571454</v>
      </c>
      <c r="I339" s="295">
        <v>0.96991629513569566</v>
      </c>
      <c r="J339" s="295">
        <v>0.95041794964521542</v>
      </c>
      <c r="K339" s="295">
        <v>0.92989067763719147</v>
      </c>
      <c r="L339" s="295">
        <v>0.92989067763719147</v>
      </c>
      <c r="M339" s="295">
        <v>0.92989067763719147</v>
      </c>
      <c r="N339" s="295">
        <v>0.92989067763719147</v>
      </c>
      <c r="O339" s="295">
        <v>0.92989067763719147</v>
      </c>
      <c r="P339" s="295">
        <v>0.92989067763719147</v>
      </c>
      <c r="Q339" s="296">
        <v>0.92989067763719147</v>
      </c>
    </row>
    <row r="340" spans="2:17" outlineLevel="1" x14ac:dyDescent="0.25"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</row>
    <row r="341" spans="2:17" s="16" customFormat="1" outlineLevel="1" x14ac:dyDescent="0.25">
      <c r="B341" s="110" t="s">
        <v>1080</v>
      </c>
      <c r="C341" s="9" t="s">
        <v>11</v>
      </c>
      <c r="D341" s="12">
        <v>1258660361437</v>
      </c>
      <c r="E341" s="12">
        <v>1415181059075</v>
      </c>
      <c r="F341" s="12">
        <v>1799539968307</v>
      </c>
      <c r="G341" s="12">
        <v>1503030617912.1404</v>
      </c>
      <c r="H341" s="12">
        <v>1516762149326.1311</v>
      </c>
      <c r="I341" s="12">
        <v>1545725289910.6943</v>
      </c>
      <c r="J341" s="12">
        <v>1575502368598.7061</v>
      </c>
      <c r="K341" s="12">
        <v>1603403065986.6267</v>
      </c>
      <c r="L341" s="12">
        <v>1667819521194.9468</v>
      </c>
      <c r="M341" s="12">
        <v>1734824506961.9751</v>
      </c>
      <c r="N341" s="12">
        <v>1804520810075.1541</v>
      </c>
      <c r="O341" s="12">
        <v>1877017343502.3103</v>
      </c>
      <c r="P341" s="12">
        <v>1952426378113.2083</v>
      </c>
      <c r="Q341" s="12">
        <v>2030864670601.5276</v>
      </c>
    </row>
    <row r="342" spans="2:17" outlineLevel="1" x14ac:dyDescent="0.25">
      <c r="B342" s="109" t="s">
        <v>1080</v>
      </c>
      <c r="C342" s="9" t="s">
        <v>11</v>
      </c>
      <c r="D342" s="9">
        <v>1258660361437</v>
      </c>
      <c r="E342" s="9">
        <v>1345654277534</v>
      </c>
      <c r="F342" s="9">
        <v>1755958477800</v>
      </c>
      <c r="G342" s="9">
        <v>1465454852464.3369</v>
      </c>
      <c r="H342" s="9">
        <v>1478843095592.9778</v>
      </c>
      <c r="I342" s="9">
        <v>1507082157662.927</v>
      </c>
      <c r="J342" s="9">
        <v>1536114809383.7383</v>
      </c>
      <c r="K342" s="9">
        <v>1563317989336.9609</v>
      </c>
      <c r="L342" s="9">
        <v>1626124033165.073</v>
      </c>
      <c r="M342" s="9">
        <v>1691453894287.9258</v>
      </c>
      <c r="N342" s="9">
        <v>1759407789823.2751</v>
      </c>
      <c r="O342" s="9">
        <v>1830091909914.7524</v>
      </c>
      <c r="P342" s="9">
        <v>1903615718660.3779</v>
      </c>
      <c r="Q342" s="9">
        <v>1980093053836.4893</v>
      </c>
    </row>
    <row r="343" spans="2:17" outlineLevel="1" x14ac:dyDescent="0.25">
      <c r="B343" s="109" t="s">
        <v>1059</v>
      </c>
      <c r="C343" s="9" t="s">
        <v>11</v>
      </c>
      <c r="D343" s="9">
        <v>0</v>
      </c>
      <c r="E343" s="9">
        <v>69526781541</v>
      </c>
      <c r="F343" s="9">
        <v>43581490507</v>
      </c>
      <c r="G343" s="9">
        <v>37575765447.803543</v>
      </c>
      <c r="H343" s="9">
        <v>37919053733.153313</v>
      </c>
      <c r="I343" s="9">
        <v>38643132247.767395</v>
      </c>
      <c r="J343" s="9">
        <v>39387559214.96769</v>
      </c>
      <c r="K343" s="9">
        <v>40085076649.665703</v>
      </c>
      <c r="L343" s="9">
        <v>41695488029.873703</v>
      </c>
      <c r="M343" s="9">
        <v>43370612674.049416</v>
      </c>
      <c r="N343" s="9">
        <v>45113020251.878891</v>
      </c>
      <c r="O343" s="9">
        <v>46925433587.5578</v>
      </c>
      <c r="P343" s="9">
        <v>48810659452.830246</v>
      </c>
      <c r="Q343" s="9">
        <v>50771616765.038239</v>
      </c>
    </row>
    <row r="344" spans="2:17" outlineLevel="1" x14ac:dyDescent="0.25"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</row>
    <row r="345" spans="2:17" outlineLevel="1" x14ac:dyDescent="0.25">
      <c r="B345" t="s">
        <v>1419</v>
      </c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</row>
    <row r="346" spans="2:17" s="116" customFormat="1" outlineLevel="1" x14ac:dyDescent="0.25">
      <c r="B346" s="259" t="s">
        <v>1420</v>
      </c>
      <c r="C346" s="116" t="s">
        <v>1421</v>
      </c>
      <c r="D346" s="127">
        <v>75</v>
      </c>
      <c r="E346" s="116">
        <v>75</v>
      </c>
      <c r="F346" s="116">
        <v>75</v>
      </c>
      <c r="G346" s="116">
        <v>75</v>
      </c>
      <c r="H346" s="116">
        <v>75</v>
      </c>
      <c r="I346" s="116">
        <v>75</v>
      </c>
      <c r="J346" s="116">
        <v>75</v>
      </c>
      <c r="K346" s="116">
        <v>75</v>
      </c>
      <c r="L346" s="116">
        <v>75</v>
      </c>
      <c r="M346" s="116">
        <v>75</v>
      </c>
      <c r="N346" s="116">
        <v>75</v>
      </c>
      <c r="O346" s="116">
        <v>75</v>
      </c>
      <c r="P346" s="116">
        <v>75</v>
      </c>
      <c r="Q346" s="116">
        <v>75</v>
      </c>
    </row>
    <row r="347" spans="2:17" outlineLevel="1" x14ac:dyDescent="0.25">
      <c r="B347" s="108" t="s">
        <v>1422</v>
      </c>
      <c r="C347" s="9" t="s">
        <v>11</v>
      </c>
      <c r="D347" s="9">
        <v>262220908632.70834</v>
      </c>
      <c r="E347" s="9">
        <v>294829387307.29163</v>
      </c>
      <c r="F347" s="9">
        <v>374904160063.95837</v>
      </c>
      <c r="G347" s="9">
        <v>313131378731.69592</v>
      </c>
      <c r="H347" s="9">
        <v>315992114442.94397</v>
      </c>
      <c r="I347" s="9">
        <v>322026102064.72803</v>
      </c>
      <c r="J347" s="9">
        <v>328229660124.73041</v>
      </c>
      <c r="K347" s="9">
        <v>334042305413.88062</v>
      </c>
      <c r="L347" s="9">
        <v>347462400248.94727</v>
      </c>
      <c r="M347" s="9">
        <v>361421772283.74481</v>
      </c>
      <c r="N347" s="9">
        <v>375941835432.32373</v>
      </c>
      <c r="O347" s="9">
        <v>391045279896.31464</v>
      </c>
      <c r="P347" s="9">
        <v>406755495440.25171</v>
      </c>
      <c r="Q347" s="9">
        <v>423096806375.31824</v>
      </c>
    </row>
    <row r="348" spans="2:17" s="6" customFormat="1" outlineLevel="1" x14ac:dyDescent="0.25">
      <c r="B348" s="10" t="s">
        <v>1423</v>
      </c>
      <c r="C348" s="6" t="s">
        <v>12</v>
      </c>
      <c r="D348" s="6">
        <v>4.1300004806897939E-2</v>
      </c>
      <c r="E348" s="6">
        <v>6.9910287855793535E-2</v>
      </c>
      <c r="F348" s="6">
        <v>0.10559290923911446</v>
      </c>
      <c r="G348" s="6">
        <v>1.4438649930189904</v>
      </c>
      <c r="H348" s="6">
        <v>1.358787924865196</v>
      </c>
      <c r="I348" s="6">
        <v>1.463924363752672</v>
      </c>
      <c r="J348" s="6">
        <v>1.6328856102283611</v>
      </c>
      <c r="K348" s="6">
        <v>1.8728570359273289</v>
      </c>
      <c r="L348" s="6">
        <v>2.1249621175552265</v>
      </c>
      <c r="M348" s="6">
        <v>2.2987265518476714</v>
      </c>
      <c r="N348" s="6">
        <v>2.4660995849910634</v>
      </c>
      <c r="O348" s="6">
        <v>2.6270964999481836</v>
      </c>
      <c r="P348" s="6">
        <v>2.7817499869680486</v>
      </c>
      <c r="Q348" s="6">
        <v>2.9302991211424976</v>
      </c>
    </row>
    <row r="349" spans="2:17" x14ac:dyDescent="0.25"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</row>
    <row r="350" spans="2:17" s="16" customFormat="1" x14ac:dyDescent="0.25">
      <c r="B350" s="17" t="s">
        <v>1127</v>
      </c>
      <c r="C350" s="17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</row>
    <row r="351" spans="2:17" outlineLevel="1" x14ac:dyDescent="0.25"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</row>
    <row r="352" spans="2:17" s="16" customFormat="1" outlineLevel="1" x14ac:dyDescent="0.25">
      <c r="B352" s="110" t="s">
        <v>1083</v>
      </c>
      <c r="C352" s="9" t="s">
        <v>11</v>
      </c>
      <c r="D352" s="12">
        <v>55116842808</v>
      </c>
      <c r="E352" s="12">
        <v>58019159065</v>
      </c>
      <c r="F352" s="12">
        <v>52360396508</v>
      </c>
      <c r="G352" s="12">
        <v>53181692662.605003</v>
      </c>
      <c r="H352" s="12">
        <v>55404051905.796181</v>
      </c>
      <c r="I352" s="12">
        <v>57720438722.499039</v>
      </c>
      <c r="J352" s="12">
        <v>60134875102.786499</v>
      </c>
      <c r="K352" s="12">
        <v>62651556702.509026</v>
      </c>
      <c r="L352" s="12">
        <v>65274860401.92247</v>
      </c>
      <c r="M352" s="12">
        <v>68009352195.482529</v>
      </c>
      <c r="N352" s="12">
        <v>70859795427.394379</v>
      </c>
      <c r="O352" s="12">
        <v>73831159388.151276</v>
      </c>
      <c r="P352" s="12">
        <v>76928628287.970566</v>
      </c>
      <c r="Q352" s="12">
        <v>80157610623.739075</v>
      </c>
    </row>
    <row r="353" spans="2:17" outlineLevel="1" x14ac:dyDescent="0.25">
      <c r="B353" s="109" t="s">
        <v>1084</v>
      </c>
      <c r="C353" s="9" t="s">
        <v>11</v>
      </c>
      <c r="D353" s="9">
        <v>45736365551</v>
      </c>
      <c r="E353" s="9">
        <v>29123076065</v>
      </c>
      <c r="F353" s="9">
        <v>35904439728</v>
      </c>
      <c r="G353" s="258">
        <v>36100000000</v>
      </c>
      <c r="H353" s="9">
        <v>37724500000</v>
      </c>
      <c r="I353" s="9">
        <v>39422102500</v>
      </c>
      <c r="J353" s="9">
        <v>41196097112.5</v>
      </c>
      <c r="K353" s="9">
        <v>43049921482.5625</v>
      </c>
      <c r="L353" s="9">
        <v>44987167949.277809</v>
      </c>
      <c r="M353" s="9">
        <v>47011590506.995308</v>
      </c>
      <c r="N353" s="9">
        <v>49127112079.810097</v>
      </c>
      <c r="O353" s="9">
        <v>51337832123.40155</v>
      </c>
      <c r="P353" s="9">
        <v>53648034568.954613</v>
      </c>
      <c r="Q353" s="9">
        <v>56062196124.557564</v>
      </c>
    </row>
    <row r="354" spans="2:17" outlineLevel="1" x14ac:dyDescent="0.25">
      <c r="B354" s="109" t="s">
        <v>1085</v>
      </c>
      <c r="C354" s="9" t="s">
        <v>11</v>
      </c>
      <c r="D354" s="9">
        <v>1533788346</v>
      </c>
      <c r="E354" s="9">
        <v>6055376476</v>
      </c>
      <c r="F354" s="9">
        <v>5502047988</v>
      </c>
      <c r="G354" s="9">
        <v>5694619667.5799999</v>
      </c>
      <c r="H354" s="9">
        <v>5893931355.9452991</v>
      </c>
      <c r="I354" s="9">
        <v>6100218953.4033842</v>
      </c>
      <c r="J354" s="9">
        <v>6313726616.7725019</v>
      </c>
      <c r="K354" s="9">
        <v>6534707048.359539</v>
      </c>
      <c r="L354" s="9">
        <v>6763421795.0521221</v>
      </c>
      <c r="M354" s="9">
        <v>7000141557.8789463</v>
      </c>
      <c r="N354" s="9">
        <v>7245146512.4047089</v>
      </c>
      <c r="O354" s="9">
        <v>7498726640.3388729</v>
      </c>
      <c r="P354" s="9">
        <v>7761182072.7507324</v>
      </c>
      <c r="Q354" s="9">
        <v>8032823445.2970076</v>
      </c>
    </row>
    <row r="355" spans="2:17" outlineLevel="1" x14ac:dyDescent="0.25">
      <c r="B355" s="109" t="s">
        <v>232</v>
      </c>
      <c r="C355" s="9" t="s">
        <v>11</v>
      </c>
      <c r="D355" s="9">
        <v>5035383009</v>
      </c>
      <c r="E355" s="9">
        <v>17389895401</v>
      </c>
      <c r="F355" s="9">
        <v>5930368525</v>
      </c>
      <c r="G355" s="9">
        <v>6137931423.375</v>
      </c>
      <c r="H355" s="9">
        <v>6352759023.1931248</v>
      </c>
      <c r="I355" s="9">
        <v>6575105589.0048838</v>
      </c>
      <c r="J355" s="9">
        <v>6805234284.6200542</v>
      </c>
      <c r="K355" s="9">
        <v>7043417484.5817556</v>
      </c>
      <c r="L355" s="9">
        <v>7289937096.5421162</v>
      </c>
      <c r="M355" s="9">
        <v>7545084894.9210892</v>
      </c>
      <c r="N355" s="9">
        <v>7809162866.2433271</v>
      </c>
      <c r="O355" s="9">
        <v>8082483566.5618429</v>
      </c>
      <c r="P355" s="9">
        <v>8365370491.3915071</v>
      </c>
      <c r="Q355" s="9">
        <v>8658158458.59021</v>
      </c>
    </row>
    <row r="356" spans="2:17" outlineLevel="1" x14ac:dyDescent="0.25">
      <c r="B356" s="109" t="s">
        <v>207</v>
      </c>
      <c r="C356" s="9" t="s">
        <v>11</v>
      </c>
      <c r="D356" s="9">
        <v>856613609</v>
      </c>
      <c r="E356" s="9">
        <v>2367548655</v>
      </c>
      <c r="F356" s="9">
        <v>2797673542</v>
      </c>
      <c r="G356" s="9">
        <v>2895592115.9699998</v>
      </c>
      <c r="H356" s="9">
        <v>2996937840.0289497</v>
      </c>
      <c r="I356" s="9">
        <v>3101830664.4299626</v>
      </c>
      <c r="J356" s="9">
        <v>3210394737.6850109</v>
      </c>
      <c r="K356" s="9">
        <v>3322758553.5039859</v>
      </c>
      <c r="L356" s="9">
        <v>3439055102.8766251</v>
      </c>
      <c r="M356" s="9">
        <v>3559422031.4773068</v>
      </c>
      <c r="N356" s="9">
        <v>3684001802.5790124</v>
      </c>
      <c r="O356" s="9">
        <v>3812941865.6692777</v>
      </c>
      <c r="P356" s="9">
        <v>3946394830.9677019</v>
      </c>
      <c r="Q356" s="9">
        <v>4084518650.0515714</v>
      </c>
    </row>
    <row r="357" spans="2:17" outlineLevel="1" x14ac:dyDescent="0.25">
      <c r="B357" s="109" t="s">
        <v>505</v>
      </c>
      <c r="C357" s="9" t="s">
        <v>11</v>
      </c>
      <c r="D357" s="9">
        <v>98336380</v>
      </c>
      <c r="E357" s="9">
        <v>1155775064</v>
      </c>
      <c r="F357" s="9">
        <v>338442284</v>
      </c>
      <c r="G357" s="9">
        <v>350287763.94</v>
      </c>
      <c r="H357" s="9">
        <v>362547835.67789996</v>
      </c>
      <c r="I357" s="9">
        <v>375237009.92662644</v>
      </c>
      <c r="J357" s="9">
        <v>388370305.27405834</v>
      </c>
      <c r="K357" s="9">
        <v>401963265.95865035</v>
      </c>
      <c r="L357" s="9">
        <v>416031980.26720309</v>
      </c>
      <c r="M357" s="9">
        <v>430593099.57655519</v>
      </c>
      <c r="N357" s="9">
        <v>445663858.06173462</v>
      </c>
      <c r="O357" s="9">
        <v>461262093.09389532</v>
      </c>
      <c r="P357" s="9">
        <v>477406266.35218161</v>
      </c>
      <c r="Q357" s="9">
        <v>494115485.67450792</v>
      </c>
    </row>
    <row r="358" spans="2:17" outlineLevel="1" x14ac:dyDescent="0.25">
      <c r="B358" s="109" t="s">
        <v>1086</v>
      </c>
      <c r="C358" s="9" t="s">
        <v>11</v>
      </c>
      <c r="D358" s="9">
        <v>300089869</v>
      </c>
      <c r="E358" s="9">
        <v>645947837</v>
      </c>
      <c r="F358" s="9">
        <v>654851891</v>
      </c>
      <c r="G358" s="9">
        <v>677771707.18499994</v>
      </c>
      <c r="H358" s="9">
        <v>701493716.93647492</v>
      </c>
      <c r="I358" s="9">
        <v>726045997.02925146</v>
      </c>
      <c r="J358" s="9">
        <v>751457606.92527521</v>
      </c>
      <c r="K358" s="9">
        <v>777758623.16765976</v>
      </c>
      <c r="L358" s="9">
        <v>804980174.97852778</v>
      </c>
      <c r="M358" s="9">
        <v>833154481.10277617</v>
      </c>
      <c r="N358" s="9">
        <v>862314887.94137323</v>
      </c>
      <c r="O358" s="9">
        <v>892495909.0193212</v>
      </c>
      <c r="P358" s="9">
        <v>923733265.83499742</v>
      </c>
      <c r="Q358" s="9">
        <v>956063930.13922226</v>
      </c>
    </row>
    <row r="359" spans="2:17" outlineLevel="1" x14ac:dyDescent="0.25">
      <c r="B359" s="109" t="s">
        <v>1087</v>
      </c>
      <c r="C359" s="9" t="s">
        <v>11</v>
      </c>
      <c r="D359" s="9">
        <v>383037235</v>
      </c>
      <c r="E359" s="9">
        <v>260890987</v>
      </c>
      <c r="F359" s="9">
        <v>168163867</v>
      </c>
      <c r="G359" s="9">
        <v>174049602.345</v>
      </c>
      <c r="H359" s="9">
        <v>180141338.427075</v>
      </c>
      <c r="I359" s="9">
        <v>186446285.2720226</v>
      </c>
      <c r="J359" s="9">
        <v>192971905.25654337</v>
      </c>
      <c r="K359" s="9">
        <v>199725921.94052237</v>
      </c>
      <c r="L359" s="9">
        <v>206716329.20844063</v>
      </c>
      <c r="M359" s="9">
        <v>213951400.73073605</v>
      </c>
      <c r="N359" s="9">
        <v>221439699.7563118</v>
      </c>
      <c r="O359" s="9">
        <v>229190089.24778271</v>
      </c>
      <c r="P359" s="9">
        <v>237211742.37145507</v>
      </c>
      <c r="Q359" s="9">
        <v>245514153.35445598</v>
      </c>
    </row>
    <row r="360" spans="2:17" outlineLevel="1" x14ac:dyDescent="0.25">
      <c r="B360" s="109" t="s">
        <v>1088</v>
      </c>
      <c r="C360" s="9" t="s">
        <v>11</v>
      </c>
      <c r="D360" s="9">
        <v>928146955</v>
      </c>
      <c r="E360" s="9">
        <v>88824766</v>
      </c>
      <c r="F360" s="9">
        <v>354194514</v>
      </c>
      <c r="G360" s="9">
        <v>366591321.98999995</v>
      </c>
      <c r="H360" s="9">
        <v>379422018.25964993</v>
      </c>
      <c r="I360" s="9">
        <v>392701788.89873767</v>
      </c>
      <c r="J360" s="9">
        <v>406446351.51019347</v>
      </c>
      <c r="K360" s="9">
        <v>420671973.81305021</v>
      </c>
      <c r="L360" s="9">
        <v>435395492.89650691</v>
      </c>
      <c r="M360" s="9">
        <v>450634335.14788461</v>
      </c>
      <c r="N360" s="9">
        <v>466406536.87806052</v>
      </c>
      <c r="O360" s="9">
        <v>482730765.66879261</v>
      </c>
      <c r="P360" s="9">
        <v>499626342.46720028</v>
      </c>
      <c r="Q360" s="9">
        <v>517113264.45355225</v>
      </c>
    </row>
    <row r="361" spans="2:17" outlineLevel="1" x14ac:dyDescent="0.25">
      <c r="B361" s="109" t="s">
        <v>154</v>
      </c>
      <c r="C361" s="9" t="s">
        <v>11</v>
      </c>
      <c r="D361" s="9">
        <v>49118822</v>
      </c>
      <c r="E361" s="9">
        <v>32658742</v>
      </c>
      <c r="F361" s="9">
        <v>215077</v>
      </c>
      <c r="G361" s="13">
        <v>50000000</v>
      </c>
      <c r="H361" s="9">
        <v>51749999.999999993</v>
      </c>
      <c r="I361" s="9">
        <v>53561249.999999985</v>
      </c>
      <c r="J361" s="9">
        <v>55435893.749999978</v>
      </c>
      <c r="K361" s="9">
        <v>57376150.03124997</v>
      </c>
      <c r="L361" s="9">
        <v>59384315.282343715</v>
      </c>
      <c r="M361" s="9">
        <v>61462766.317225739</v>
      </c>
      <c r="N361" s="9">
        <v>63613963.138328634</v>
      </c>
      <c r="O361" s="9">
        <v>65840451.848170131</v>
      </c>
      <c r="P361" s="9">
        <v>68144867.662856087</v>
      </c>
      <c r="Q361" s="9">
        <v>70529938.031056046</v>
      </c>
    </row>
    <row r="362" spans="2:17" outlineLevel="1" x14ac:dyDescent="0.25">
      <c r="B362" s="109" t="s">
        <v>1089</v>
      </c>
      <c r="C362" s="9" t="s">
        <v>11</v>
      </c>
      <c r="D362" s="9">
        <v>192053854</v>
      </c>
      <c r="E362" s="9">
        <v>657682178</v>
      </c>
      <c r="F362" s="9">
        <v>700193460</v>
      </c>
      <c r="G362" s="9">
        <v>724700231.0999999</v>
      </c>
      <c r="H362" s="9">
        <v>750064739.18849981</v>
      </c>
      <c r="I362" s="9">
        <v>776317005.06009722</v>
      </c>
      <c r="J362" s="9">
        <v>803488100.2372005</v>
      </c>
      <c r="K362" s="9">
        <v>831610183.74550247</v>
      </c>
      <c r="L362" s="9">
        <v>860716540.17659497</v>
      </c>
      <c r="M362" s="9">
        <v>890841619.08277571</v>
      </c>
      <c r="N362" s="9">
        <v>922021075.75067282</v>
      </c>
      <c r="O362" s="9">
        <v>954291813.40194631</v>
      </c>
      <c r="P362" s="9">
        <v>987692026.87101436</v>
      </c>
      <c r="Q362" s="9">
        <v>1022261247.8114998</v>
      </c>
    </row>
    <row r="363" spans="2:17" outlineLevel="1" x14ac:dyDescent="0.25">
      <c r="B363" s="109" t="s">
        <v>540</v>
      </c>
      <c r="C363" s="9" t="s">
        <v>11</v>
      </c>
      <c r="D363" s="9">
        <v>0</v>
      </c>
      <c r="E363" s="9">
        <v>167531000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>
        <v>0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</row>
    <row r="364" spans="2:17" outlineLevel="1" x14ac:dyDescent="0.25">
      <c r="B364" s="109" t="s">
        <v>1090</v>
      </c>
      <c r="C364" s="9" t="s">
        <v>11</v>
      </c>
      <c r="D364" s="9">
        <v>3909178</v>
      </c>
      <c r="E364" s="9">
        <v>73951894</v>
      </c>
      <c r="F364" s="9">
        <v>9805632</v>
      </c>
      <c r="G364" s="9">
        <v>10148829.119999999</v>
      </c>
      <c r="H364" s="9">
        <v>10504038.139199998</v>
      </c>
      <c r="I364" s="9">
        <v>10871679.474071998</v>
      </c>
      <c r="J364" s="9">
        <v>11252188.255664518</v>
      </c>
      <c r="K364" s="9">
        <v>11646014.844612775</v>
      </c>
      <c r="L364" s="9">
        <v>12053625.364174221</v>
      </c>
      <c r="M364" s="9">
        <v>12475502.251920318</v>
      </c>
      <c r="N364" s="9">
        <v>12912144.830737527</v>
      </c>
      <c r="O364" s="9">
        <v>13364069.899813339</v>
      </c>
      <c r="P364" s="9">
        <v>13831812.346306805</v>
      </c>
      <c r="Q364" s="9">
        <v>14315925.778427541</v>
      </c>
    </row>
    <row r="365" spans="2:17" x14ac:dyDescent="0.25"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</row>
    <row r="366" spans="2:17" s="16" customFormat="1" x14ac:dyDescent="0.25">
      <c r="B366" s="17" t="s">
        <v>1132</v>
      </c>
      <c r="C366" s="17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</row>
    <row r="367" spans="2:17" outlineLevel="1" x14ac:dyDescent="0.25"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</row>
    <row r="368" spans="2:17" s="6" customFormat="1" outlineLevel="1" x14ac:dyDescent="0.25">
      <c r="B368" s="6" t="s">
        <v>1131</v>
      </c>
      <c r="E368" s="6">
        <v>0.1340092164040152</v>
      </c>
      <c r="F368" s="6">
        <v>6.9974308560087461E-2</v>
      </c>
      <c r="G368" s="6">
        <v>1.9748697247126135E-2</v>
      </c>
      <c r="H368" s="6">
        <v>4.0175073008319018E-2</v>
      </c>
      <c r="I368" s="6">
        <v>4.0174751795948094E-2</v>
      </c>
      <c r="J368" s="6">
        <v>4.01749096453905E-2</v>
      </c>
      <c r="K368" s="6">
        <v>4.0174937066435934E-2</v>
      </c>
      <c r="L368" s="6">
        <v>4.0174835994019054E-2</v>
      </c>
      <c r="M368" s="6">
        <v>4.0175201762251422E-2</v>
      </c>
      <c r="N368" s="6">
        <v>4.017484352652545E-2</v>
      </c>
      <c r="O368" s="6">
        <v>4.0174950060086534E-2</v>
      </c>
      <c r="P368" s="6">
        <v>4.0174926924326115E-2</v>
      </c>
      <c r="Q368" s="6">
        <v>4.0174776046675298E-2</v>
      </c>
    </row>
    <row r="369" spans="2:17" outlineLevel="1" x14ac:dyDescent="0.25"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</row>
    <row r="370" spans="2:17" outlineLevel="1" x14ac:dyDescent="0.25">
      <c r="B370" s="110" t="s">
        <v>1120</v>
      </c>
      <c r="D370" s="102">
        <v>1</v>
      </c>
      <c r="E370" s="102">
        <v>1</v>
      </c>
      <c r="F370" s="102">
        <v>1</v>
      </c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</row>
    <row r="371" spans="2:17" outlineLevel="1" x14ac:dyDescent="0.25">
      <c r="B371" s="109" t="s">
        <v>1045</v>
      </c>
      <c r="C371" t="s">
        <v>12</v>
      </c>
      <c r="D371" s="6">
        <v>0.14377904358356369</v>
      </c>
      <c r="E371" s="6">
        <v>0.20007450338864838</v>
      </c>
      <c r="F371" s="6">
        <v>0.11455254626260268</v>
      </c>
      <c r="G371" s="6">
        <v>0.11538890827364474</v>
      </c>
      <c r="H371" s="6">
        <v>0.11538890827364473</v>
      </c>
      <c r="I371" s="6">
        <v>0.12923557726648213</v>
      </c>
      <c r="J371" s="6">
        <v>0.14359508585164676</v>
      </c>
      <c r="K371" s="6">
        <v>0.16154447158310264</v>
      </c>
      <c r="L371" s="6">
        <v>0.18462225323783163</v>
      </c>
      <c r="M371" s="6">
        <v>0.18462225323783157</v>
      </c>
      <c r="N371" s="6">
        <v>0.18462225323783163</v>
      </c>
      <c r="O371" s="6">
        <v>0.18462225323783163</v>
      </c>
      <c r="P371" s="6">
        <v>0.1846222532378316</v>
      </c>
      <c r="Q371" s="6">
        <v>0.1846222532378316</v>
      </c>
    </row>
    <row r="372" spans="2:17" outlineLevel="1" x14ac:dyDescent="0.25">
      <c r="B372" s="109" t="s">
        <v>1046</v>
      </c>
      <c r="C372" t="s">
        <v>12</v>
      </c>
      <c r="D372" s="6">
        <v>0.55259192083431941</v>
      </c>
      <c r="E372" s="6">
        <v>0.5776035166656921</v>
      </c>
      <c r="F372" s="6">
        <v>0.6485748453544129</v>
      </c>
      <c r="G372" s="6">
        <v>0.62985866872061014</v>
      </c>
      <c r="H372" s="6">
        <v>0.62985866872061025</v>
      </c>
      <c r="I372" s="6">
        <v>0.58544170896708336</v>
      </c>
      <c r="J372" s="6">
        <v>0.5393796766300929</v>
      </c>
      <c r="K372" s="6">
        <v>0.48180213620885437</v>
      </c>
      <c r="L372" s="6">
        <v>0.40777386995297626</v>
      </c>
      <c r="M372" s="6">
        <v>0.40777386995297654</v>
      </c>
      <c r="N372" s="6">
        <v>0.40777386995297621</v>
      </c>
      <c r="O372" s="6">
        <v>0.40777386995297626</v>
      </c>
      <c r="P372" s="6">
        <v>0.40777386995297638</v>
      </c>
      <c r="Q372" s="6">
        <v>0.40777386995297621</v>
      </c>
    </row>
    <row r="373" spans="2:17" outlineLevel="1" x14ac:dyDescent="0.25">
      <c r="B373" s="109" t="s">
        <v>1047</v>
      </c>
      <c r="C373" t="s">
        <v>12</v>
      </c>
      <c r="D373" s="6">
        <v>4.1626738772597583E-3</v>
      </c>
      <c r="E373" s="6">
        <v>9.2986233747375628E-3</v>
      </c>
      <c r="F373" s="6">
        <v>2.0047868449916188E-2</v>
      </c>
      <c r="G373" s="6">
        <v>2.0194240364997333E-2</v>
      </c>
      <c r="H373" s="6">
        <v>2.019424036499733E-2</v>
      </c>
      <c r="I373" s="6">
        <v>2.2617549208797015E-2</v>
      </c>
      <c r="J373" s="6">
        <v>2.513061023199668E-2</v>
      </c>
      <c r="K373" s="6">
        <v>2.8271936510996271E-2</v>
      </c>
      <c r="L373" s="6">
        <v>3.2310784583995743E-2</v>
      </c>
      <c r="M373" s="6">
        <v>3.2310784583995736E-2</v>
      </c>
      <c r="N373" s="6">
        <v>3.2310784583995743E-2</v>
      </c>
      <c r="O373" s="6">
        <v>3.2310784583995743E-2</v>
      </c>
      <c r="P373" s="6">
        <v>3.2310784583995736E-2</v>
      </c>
      <c r="Q373" s="6">
        <v>3.2310784583995743E-2</v>
      </c>
    </row>
    <row r="374" spans="2:17" outlineLevel="1" x14ac:dyDescent="0.25">
      <c r="B374" s="109" t="s">
        <v>1048</v>
      </c>
      <c r="C374" t="s">
        <v>12</v>
      </c>
      <c r="D374" s="6">
        <v>3.4471706107575141E-2</v>
      </c>
      <c r="E374" s="6">
        <v>5.5025467170144275E-3</v>
      </c>
      <c r="F374" s="6">
        <v>3.7983843732798364E-3</v>
      </c>
      <c r="G374" s="6">
        <v>3.8261168375226169E-3</v>
      </c>
      <c r="H374" s="6">
        <v>3.8261168375226164E-3</v>
      </c>
      <c r="I374" s="6">
        <v>4.2852508580253313E-3</v>
      </c>
      <c r="J374" s="6">
        <v>4.7613898422503671E-3</v>
      </c>
      <c r="K374" s="6">
        <v>5.3565635725316635E-3</v>
      </c>
      <c r="L374" s="6">
        <v>6.1217869400361875E-3</v>
      </c>
      <c r="M374" s="6">
        <v>6.1217869400361866E-3</v>
      </c>
      <c r="N374" s="6">
        <v>6.1217869400361884E-3</v>
      </c>
      <c r="O374" s="6">
        <v>6.1217869400361875E-3</v>
      </c>
      <c r="P374" s="6">
        <v>6.1217869400361866E-3</v>
      </c>
      <c r="Q374" s="6">
        <v>6.1217869400361875E-3</v>
      </c>
    </row>
    <row r="375" spans="2:17" outlineLevel="1" x14ac:dyDescent="0.25">
      <c r="B375" s="109" t="s">
        <v>1049</v>
      </c>
      <c r="C375" t="s">
        <v>12</v>
      </c>
      <c r="D375" s="6">
        <v>0.29822204447697009</v>
      </c>
      <c r="E375" s="6">
        <v>0.22505855928165891</v>
      </c>
      <c r="F375" s="6">
        <v>0.18984400987083871</v>
      </c>
      <c r="G375" s="6">
        <v>0.19123008397447214</v>
      </c>
      <c r="H375" s="6">
        <v>0.19123008397447211</v>
      </c>
      <c r="I375" s="6">
        <v>0.2141776940514088</v>
      </c>
      <c r="J375" s="6">
        <v>0.2379752156126764</v>
      </c>
      <c r="K375" s="6">
        <v>0.26772211756426095</v>
      </c>
      <c r="L375" s="6">
        <v>0.30596813435915543</v>
      </c>
      <c r="M375" s="6">
        <v>0.30596813435915537</v>
      </c>
      <c r="N375" s="6">
        <v>0.30596813435915549</v>
      </c>
      <c r="O375" s="6">
        <v>0.30596813435915549</v>
      </c>
      <c r="P375" s="6">
        <v>0.30596813435915549</v>
      </c>
      <c r="Q375" s="6">
        <v>0.30596813435915549</v>
      </c>
    </row>
    <row r="376" spans="2:17" outlineLevel="1" x14ac:dyDescent="0.25">
      <c r="B376" s="109" t="s">
        <v>1050</v>
      </c>
      <c r="C376" t="s">
        <v>12</v>
      </c>
      <c r="D376" s="6">
        <v>5.795355191888063E-2</v>
      </c>
      <c r="E376" s="6">
        <v>5.1249700405008092E-2</v>
      </c>
      <c r="F376" s="6">
        <v>3.5000765592133887E-2</v>
      </c>
      <c r="G376" s="6">
        <v>3.5256310419845893E-2</v>
      </c>
      <c r="H376" s="6">
        <v>3.5256310419845893E-2</v>
      </c>
      <c r="I376" s="6">
        <v>3.9487067670227409E-2</v>
      </c>
      <c r="J376" s="6">
        <v>4.3874519633586004E-2</v>
      </c>
      <c r="K376" s="6">
        <v>4.9358834587784263E-2</v>
      </c>
      <c r="L376" s="6">
        <v>5.6410096671753451E-2</v>
      </c>
      <c r="M376" s="6">
        <v>5.6410096671753444E-2</v>
      </c>
      <c r="N376" s="6">
        <v>5.6410096671753465E-2</v>
      </c>
      <c r="O376" s="6">
        <v>5.6410096671753451E-2</v>
      </c>
      <c r="P376" s="6">
        <v>5.6410096671753444E-2</v>
      </c>
      <c r="Q376" s="6">
        <v>5.6410096671753465E-2</v>
      </c>
    </row>
    <row r="377" spans="2:17" outlineLevel="1" x14ac:dyDescent="0.25">
      <c r="B377" s="109" t="s">
        <v>424</v>
      </c>
      <c r="C377" t="s">
        <v>12</v>
      </c>
      <c r="D377" s="6">
        <v>1.1795725457960392E-2</v>
      </c>
      <c r="E377" s="6">
        <v>8.1517884026464909E-3</v>
      </c>
      <c r="F377" s="6">
        <v>4.2148979287614501E-3</v>
      </c>
      <c r="G377" s="6">
        <v>4.2456714089070136E-3</v>
      </c>
      <c r="H377" s="6">
        <v>4.2456714089070136E-3</v>
      </c>
      <c r="I377" s="6">
        <v>4.7551519779758557E-3</v>
      </c>
      <c r="J377" s="6">
        <v>5.28350219775095E-3</v>
      </c>
      <c r="K377" s="6">
        <v>5.9439399724698196E-3</v>
      </c>
      <c r="L377" s="6">
        <v>6.7930742542512239E-3</v>
      </c>
      <c r="M377" s="6">
        <v>6.7930742542512221E-3</v>
      </c>
      <c r="N377" s="6">
        <v>6.7930742542512247E-3</v>
      </c>
      <c r="O377" s="6">
        <v>6.7930742542512247E-3</v>
      </c>
      <c r="P377" s="6">
        <v>6.7930742542512239E-3</v>
      </c>
      <c r="Q377" s="6">
        <v>6.7930742542512247E-3</v>
      </c>
    </row>
    <row r="378" spans="2:17" outlineLevel="1" x14ac:dyDescent="0.25"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</row>
    <row r="379" spans="2:17" outlineLevel="1" x14ac:dyDescent="0.25">
      <c r="B379" s="110" t="s">
        <v>1121</v>
      </c>
      <c r="C379" t="s">
        <v>1122</v>
      </c>
      <c r="D379" s="116">
        <v>34.113467673594059</v>
      </c>
      <c r="E379" s="116">
        <v>41.663511094277112</v>
      </c>
      <c r="F379" s="116">
        <v>56.408862780849823</v>
      </c>
      <c r="G379" s="116">
        <v>56</v>
      </c>
      <c r="H379" s="116">
        <v>56</v>
      </c>
      <c r="I379" s="116">
        <v>50</v>
      </c>
      <c r="J379" s="116">
        <v>45</v>
      </c>
      <c r="K379" s="116">
        <v>40</v>
      </c>
      <c r="L379" s="116">
        <v>35</v>
      </c>
      <c r="M379" s="116">
        <v>35</v>
      </c>
      <c r="N379" s="116">
        <v>35</v>
      </c>
      <c r="O379" s="116">
        <v>35</v>
      </c>
      <c r="P379" s="116">
        <v>35</v>
      </c>
      <c r="Q379" s="116">
        <v>35</v>
      </c>
    </row>
    <row r="380" spans="2:17" outlineLevel="1" x14ac:dyDescent="0.25"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</row>
    <row r="381" spans="2:17" s="16" customFormat="1" outlineLevel="1" x14ac:dyDescent="0.25">
      <c r="B381" s="110" t="s">
        <v>1120</v>
      </c>
      <c r="C381" s="16" t="s">
        <v>11</v>
      </c>
      <c r="D381" s="12">
        <v>112804280817</v>
      </c>
      <c r="E381" s="12">
        <v>156232780967</v>
      </c>
      <c r="F381" s="12">
        <v>226327325388</v>
      </c>
      <c r="G381" s="12">
        <v>229124132182.90897</v>
      </c>
      <c r="H381" s="12">
        <v>238329210921.32507</v>
      </c>
      <c r="I381" s="12">
        <v>221342881978.40485</v>
      </c>
      <c r="J381" s="12">
        <v>207211781036.28387</v>
      </c>
      <c r="K381" s="12">
        <v>191588001154.52502</v>
      </c>
      <c r="L381" s="12">
        <v>174374390469.41373</v>
      </c>
      <c r="M381" s="12">
        <v>181379916788.69208</v>
      </c>
      <c r="N381" s="12">
        <v>188666826564.53192</v>
      </c>
      <c r="O381" s="12">
        <v>196246506899.75702</v>
      </c>
      <c r="P381" s="12">
        <v>204130695973.60904</v>
      </c>
      <c r="Q381" s="12">
        <v>212331600968.60071</v>
      </c>
    </row>
    <row r="382" spans="2:17" outlineLevel="1" x14ac:dyDescent="0.25">
      <c r="B382" s="109" t="s">
        <v>1045</v>
      </c>
      <c r="C382" t="s">
        <v>11</v>
      </c>
      <c r="D382" s="9">
        <v>16218891608</v>
      </c>
      <c r="E382" s="9">
        <v>31258196065</v>
      </c>
      <c r="F382" s="9">
        <v>25926371412</v>
      </c>
      <c r="G382" s="9">
        <v>26438383471.732136</v>
      </c>
      <c r="H382" s="9">
        <v>27500547457.930908</v>
      </c>
      <c r="I382" s="9">
        <v>28605375126.305973</v>
      </c>
      <c r="J382" s="9">
        <v>29754593487.377815</v>
      </c>
      <c r="K382" s="9">
        <v>30949982408.170605</v>
      </c>
      <c r="L382" s="9">
        <v>32193392875.436634</v>
      </c>
      <c r="M382" s="9">
        <v>33486768929.618729</v>
      </c>
      <c r="N382" s="9">
        <v>34832094631.575073</v>
      </c>
      <c r="O382" s="9">
        <v>36231472293.88681</v>
      </c>
      <c r="P382" s="9">
        <v>37687069045.654457</v>
      </c>
      <c r="Q382" s="9">
        <v>39201138604.419212</v>
      </c>
    </row>
    <row r="383" spans="2:17" outlineLevel="1" x14ac:dyDescent="0.25">
      <c r="B383" s="109" t="s">
        <v>1046</v>
      </c>
      <c r="C383" t="s">
        <v>11</v>
      </c>
      <c r="D383" s="9">
        <v>62334734215</v>
      </c>
      <c r="E383" s="9">
        <v>90240603705</v>
      </c>
      <c r="F383" s="9">
        <v>146790210063</v>
      </c>
      <c r="G383" s="9">
        <v>144315820868.49216</v>
      </c>
      <c r="H383" s="9">
        <v>150113719508.13934</v>
      </c>
      <c r="I383" s="9">
        <v>129583355093.13678</v>
      </c>
      <c r="J383" s="9">
        <v>111765823449.2964</v>
      </c>
      <c r="K383" s="9">
        <v>92307508228.234619</v>
      </c>
      <c r="L383" s="9">
        <v>71105320022.404221</v>
      </c>
      <c r="M383" s="9">
        <v>73961990600.673828</v>
      </c>
      <c r="N383" s="9">
        <v>76933401999.966156</v>
      </c>
      <c r="O383" s="9">
        <v>80024197583.26738</v>
      </c>
      <c r="P383" s="9">
        <v>83239163873.353012</v>
      </c>
      <c r="Q383" s="9">
        <v>86583278640.27742</v>
      </c>
    </row>
    <row r="384" spans="2:17" outlineLevel="1" x14ac:dyDescent="0.25">
      <c r="B384" s="109" t="s">
        <v>1047</v>
      </c>
      <c r="C384" t="s">
        <v>11</v>
      </c>
      <c r="D384" s="9">
        <v>469567433</v>
      </c>
      <c r="E384" s="9">
        <v>1452749789</v>
      </c>
      <c r="F384" s="9">
        <v>4537380446</v>
      </c>
      <c r="G384" s="9">
        <v>4626987798.7230844</v>
      </c>
      <c r="H384" s="9">
        <v>4812877371.3453856</v>
      </c>
      <c r="I384" s="9">
        <v>5006233525.1635218</v>
      </c>
      <c r="J384" s="9">
        <v>5207358504.7006912</v>
      </c>
      <c r="K384" s="9">
        <v>5416563804.9094114</v>
      </c>
      <c r="L384" s="9">
        <v>5634173367.4227867</v>
      </c>
      <c r="M384" s="9">
        <v>5860527419.2225008</v>
      </c>
      <c r="N384" s="9">
        <v>6095973191.2726765</v>
      </c>
      <c r="O384" s="9">
        <v>6340878609.7996826</v>
      </c>
      <c r="P384" s="9">
        <v>6595622944.5844078</v>
      </c>
      <c r="Q384" s="9">
        <v>6860600619.2713995</v>
      </c>
    </row>
    <row r="385" spans="2:17" outlineLevel="1" x14ac:dyDescent="0.25">
      <c r="B385" s="109" t="s">
        <v>1048</v>
      </c>
      <c r="C385" t="s">
        <v>11</v>
      </c>
      <c r="D385" s="9">
        <v>3888556016</v>
      </c>
      <c r="E385" s="9">
        <v>859678176</v>
      </c>
      <c r="F385" s="9">
        <v>859678176</v>
      </c>
      <c r="G385" s="9">
        <v>876655700.02778566</v>
      </c>
      <c r="H385" s="9">
        <v>911875406.77956092</v>
      </c>
      <c r="I385" s="9">
        <v>948509774.91575897</v>
      </c>
      <c r="J385" s="9">
        <v>986616069.42076921</v>
      </c>
      <c r="K385" s="9">
        <v>1026253307.918483</v>
      </c>
      <c r="L385" s="9">
        <v>1067482866.2524276</v>
      </c>
      <c r="M385" s="9">
        <v>1110369205.7818654</v>
      </c>
      <c r="N385" s="9">
        <v>1154978114.8808241</v>
      </c>
      <c r="O385" s="9">
        <v>1201379302.9666541</v>
      </c>
      <c r="P385" s="9">
        <v>1249644628.6717372</v>
      </c>
      <c r="Q385" s="9">
        <v>1299848821.7665548</v>
      </c>
    </row>
    <row r="386" spans="2:17" outlineLevel="1" x14ac:dyDescent="0.25">
      <c r="B386" s="109" t="s">
        <v>1049</v>
      </c>
      <c r="C386" t="s">
        <v>11</v>
      </c>
      <c r="D386" s="9">
        <v>33640723251</v>
      </c>
      <c r="E386" s="9">
        <v>35161524597</v>
      </c>
      <c r="F386" s="9">
        <v>42966886995</v>
      </c>
      <c r="G386" s="9">
        <v>43815427037.915733</v>
      </c>
      <c r="H386" s="9">
        <v>45575715018.054672</v>
      </c>
      <c r="I386" s="9">
        <v>47406708056.827881</v>
      </c>
      <c r="J386" s="9">
        <v>49311268269.596344</v>
      </c>
      <c r="K386" s="9">
        <v>51292345368.993515</v>
      </c>
      <c r="L386" s="9">
        <v>53353006931.941414</v>
      </c>
      <c r="M386" s="9">
        <v>55496474750.054962</v>
      </c>
      <c r="N386" s="9">
        <v>57726036939.412193</v>
      </c>
      <c r="O386" s="9">
        <v>60045177590.619789</v>
      </c>
      <c r="P386" s="9">
        <v>62457488212.481125</v>
      </c>
      <c r="Q386" s="9">
        <v>64966703813.855415</v>
      </c>
    </row>
    <row r="387" spans="2:17" outlineLevel="1" x14ac:dyDescent="0.25">
      <c r="B387" s="109" t="s">
        <v>1050</v>
      </c>
      <c r="C387" t="s">
        <v>11</v>
      </c>
      <c r="D387" s="9">
        <v>6537408745</v>
      </c>
      <c r="E387" s="9">
        <v>8006883218</v>
      </c>
      <c r="F387" s="9">
        <v>7921629663</v>
      </c>
      <c r="G387" s="9">
        <v>8078071528.9184408</v>
      </c>
      <c r="H387" s="9">
        <v>8402608642.3591623</v>
      </c>
      <c r="I387" s="9">
        <v>8740181359.0044308</v>
      </c>
      <c r="J387" s="9">
        <v>9091317355.3867607</v>
      </c>
      <c r="K387" s="9">
        <v>9456560457.9904213</v>
      </c>
      <c r="L387" s="9">
        <v>9836476223.4577122</v>
      </c>
      <c r="M387" s="9">
        <v>10231658640.364716</v>
      </c>
      <c r="N387" s="9">
        <v>10642713925.25819</v>
      </c>
      <c r="O387" s="9">
        <v>11070284425.709225</v>
      </c>
      <c r="P387" s="9">
        <v>11515032293.543598</v>
      </c>
      <c r="Q387" s="9">
        <v>11977646137.106947</v>
      </c>
    </row>
    <row r="388" spans="2:17" outlineLevel="1" x14ac:dyDescent="0.25">
      <c r="B388" s="109" t="s">
        <v>424</v>
      </c>
      <c r="C388" t="s">
        <v>11</v>
      </c>
      <c r="D388" s="9">
        <v>1330608327</v>
      </c>
      <c r="E388" s="9">
        <v>1273576572</v>
      </c>
      <c r="F388" s="9">
        <v>953946575</v>
      </c>
      <c r="G388" s="9">
        <v>972785777.09960794</v>
      </c>
      <c r="H388" s="9">
        <v>1011867516.7160391</v>
      </c>
      <c r="I388" s="9">
        <v>1052519043.0504882</v>
      </c>
      <c r="J388" s="9">
        <v>1094803900.5050945</v>
      </c>
      <c r="K388" s="9">
        <v>1138787578.3079753</v>
      </c>
      <c r="L388" s="9">
        <v>1184538182.4985244</v>
      </c>
      <c r="M388" s="9">
        <v>1232127242.9754932</v>
      </c>
      <c r="N388" s="9">
        <v>1281627762.1668029</v>
      </c>
      <c r="O388" s="9">
        <v>1333117093.5074747</v>
      </c>
      <c r="P388" s="9">
        <v>1386674975.3207076</v>
      </c>
      <c r="Q388" s="9">
        <v>1442384331.9037459</v>
      </c>
    </row>
    <row r="389" spans="2:17" outlineLevel="1" x14ac:dyDescent="0.25">
      <c r="B389" s="10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</row>
    <row r="390" spans="2:17" outlineLevel="1" x14ac:dyDescent="0.25">
      <c r="B390" s="109" t="s">
        <v>1424</v>
      </c>
      <c r="C390" t="s">
        <v>11</v>
      </c>
      <c r="D390" s="9"/>
      <c r="E390" s="9">
        <v>-27905869490</v>
      </c>
      <c r="F390" s="9">
        <v>-56549606358</v>
      </c>
      <c r="G390" s="9">
        <v>2474389194.507843</v>
      </c>
      <c r="H390" s="9">
        <v>-5797898639.6471863</v>
      </c>
      <c r="I390" s="9">
        <v>20530364415.002563</v>
      </c>
      <c r="J390" s="9">
        <v>17817531643.840378</v>
      </c>
      <c r="K390" s="9">
        <v>19458315221.061783</v>
      </c>
      <c r="L390" s="9">
        <v>21202188205.830399</v>
      </c>
      <c r="M390" s="9">
        <v>-2856670578.2696075</v>
      </c>
      <c r="N390" s="9">
        <v>-2971411399.2923279</v>
      </c>
      <c r="O390" s="9">
        <v>-3090795583.3012238</v>
      </c>
      <c r="P390" s="9">
        <v>-3214966290.0856323</v>
      </c>
      <c r="Q390" s="9">
        <v>-3344114766.924408</v>
      </c>
    </row>
    <row r="391" spans="2:17" outlineLevel="1" x14ac:dyDescent="0.25">
      <c r="B391" s="10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</row>
    <row r="392" spans="2:17" x14ac:dyDescent="0.25"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</row>
    <row r="393" spans="2:17" s="16" customFormat="1" x14ac:dyDescent="0.25">
      <c r="B393" s="17" t="s">
        <v>1133</v>
      </c>
      <c r="C393" s="17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</row>
    <row r="394" spans="2:17" outlineLevel="1" x14ac:dyDescent="0.25"/>
    <row r="395" spans="2:17" s="6" customFormat="1" outlineLevel="1" x14ac:dyDescent="0.25">
      <c r="B395" s="6" t="s">
        <v>1131</v>
      </c>
      <c r="E395" s="6">
        <v>0.1340092164040152</v>
      </c>
      <c r="F395" s="6">
        <v>6.9974308560087461E-2</v>
      </c>
      <c r="G395" s="6">
        <v>1.9748697247126135E-2</v>
      </c>
      <c r="H395" s="6">
        <v>4.0175073008319018E-2</v>
      </c>
      <c r="I395" s="6">
        <v>4.0174751795948094E-2</v>
      </c>
      <c r="J395" s="6">
        <v>4.01749096453905E-2</v>
      </c>
      <c r="K395" s="6">
        <v>4.0174937066435934E-2</v>
      </c>
      <c r="L395" s="6">
        <v>4.0174835994019054E-2</v>
      </c>
      <c r="M395" s="6">
        <v>4.0175201762251422E-2</v>
      </c>
      <c r="N395" s="6">
        <v>4.017484352652545E-2</v>
      </c>
      <c r="O395" s="6">
        <v>4.0174950060086534E-2</v>
      </c>
      <c r="P395" s="6">
        <v>4.0174926924326115E-2</v>
      </c>
      <c r="Q395" s="6">
        <v>4.0174776046675298E-2</v>
      </c>
    </row>
    <row r="396" spans="2:17" outlineLevel="1" x14ac:dyDescent="0.25"/>
    <row r="397" spans="2:17" s="102" customFormat="1" outlineLevel="1" x14ac:dyDescent="0.25">
      <c r="B397" s="117" t="s">
        <v>1070</v>
      </c>
      <c r="D397" s="102">
        <v>1</v>
      </c>
      <c r="E397" s="102">
        <v>1</v>
      </c>
      <c r="F397" s="102">
        <v>1</v>
      </c>
    </row>
    <row r="398" spans="2:17" s="6" customFormat="1" outlineLevel="1" x14ac:dyDescent="0.25">
      <c r="B398" s="118" t="s">
        <v>1058</v>
      </c>
      <c r="D398" s="6">
        <v>0.71282868207889605</v>
      </c>
      <c r="E398" s="6">
        <v>0.72081213389127252</v>
      </c>
      <c r="F398" s="6">
        <v>0.6581053471694841</v>
      </c>
      <c r="G398" s="7">
        <v>0.67500000000000004</v>
      </c>
      <c r="H398" s="6">
        <v>0.67500000000000004</v>
      </c>
      <c r="I398" s="6">
        <v>0.67500000000000004</v>
      </c>
      <c r="J398" s="6">
        <v>0.67500000000000004</v>
      </c>
      <c r="K398" s="6">
        <v>0.67500000000000004</v>
      </c>
      <c r="L398" s="6">
        <v>0.67500000000000004</v>
      </c>
      <c r="M398" s="6">
        <v>0.67500000000000004</v>
      </c>
      <c r="N398" s="6">
        <v>0.67500000000000004</v>
      </c>
      <c r="O398" s="6">
        <v>0.67500000000000004</v>
      </c>
      <c r="P398" s="6">
        <v>0.67500000000000004</v>
      </c>
      <c r="Q398" s="6">
        <v>0.67500000000000004</v>
      </c>
    </row>
    <row r="399" spans="2:17" s="6" customFormat="1" outlineLevel="1" x14ac:dyDescent="0.25">
      <c r="B399" s="118" t="s">
        <v>1059</v>
      </c>
      <c r="D399" s="6">
        <v>0</v>
      </c>
      <c r="E399" s="6">
        <v>0.27874533252276629</v>
      </c>
      <c r="F399" s="6">
        <v>0.17594843694027973</v>
      </c>
      <c r="G399" s="7">
        <v>0.32499999999999996</v>
      </c>
      <c r="H399" s="6">
        <v>0.32499999999999996</v>
      </c>
      <c r="I399" s="6">
        <v>0.32499999999999996</v>
      </c>
      <c r="J399" s="6">
        <v>0.32499999999999996</v>
      </c>
      <c r="K399" s="6">
        <v>0.32499999999999996</v>
      </c>
      <c r="L399" s="6">
        <v>0.32499999999999996</v>
      </c>
      <c r="M399" s="6">
        <v>0.32499999999999996</v>
      </c>
      <c r="N399" s="6">
        <v>0.32499999999999996</v>
      </c>
      <c r="O399" s="6">
        <v>0.32499999999999996</v>
      </c>
      <c r="P399" s="6">
        <v>0.32499999999999996</v>
      </c>
      <c r="Q399" s="6">
        <v>0.32499999999999996</v>
      </c>
    </row>
    <row r="400" spans="2:17" outlineLevel="1" x14ac:dyDescent="0.25">
      <c r="G400" s="1">
        <v>192.35107759890505</v>
      </c>
      <c r="H400" s="1">
        <v>181.17570913162081</v>
      </c>
    </row>
    <row r="401" spans="2:17" s="16" customFormat="1" outlineLevel="1" x14ac:dyDescent="0.25">
      <c r="B401" s="16" t="s">
        <v>1134</v>
      </c>
      <c r="D401" s="120">
        <v>92.822856270847808</v>
      </c>
      <c r="E401" s="120">
        <v>129.83280150336051</v>
      </c>
      <c r="F401" s="120">
        <v>192.35107759890505</v>
      </c>
      <c r="G401" s="120">
        <v>187</v>
      </c>
      <c r="H401" s="325">
        <v>187</v>
      </c>
      <c r="I401" s="325">
        <v>187</v>
      </c>
      <c r="J401" s="325">
        <v>187</v>
      </c>
      <c r="K401" s="325">
        <v>187</v>
      </c>
      <c r="L401" s="325">
        <v>187</v>
      </c>
      <c r="M401" s="325">
        <v>187</v>
      </c>
      <c r="N401" s="325">
        <v>187</v>
      </c>
      <c r="O401" s="325">
        <v>187</v>
      </c>
      <c r="P401" s="325">
        <v>187</v>
      </c>
      <c r="Q401" s="120">
        <v>187</v>
      </c>
    </row>
    <row r="402" spans="2:17" s="16" customFormat="1" outlineLevel="1" x14ac:dyDescent="0.25">
      <c r="B402" s="16" t="s">
        <v>1578</v>
      </c>
      <c r="D402" s="120"/>
      <c r="E402" s="120"/>
      <c r="F402" s="120"/>
      <c r="G402" s="120"/>
      <c r="H402" s="9">
        <v>4213228192.5725865</v>
      </c>
      <c r="I402" s="9">
        <v>4293681360.86304</v>
      </c>
      <c r="J402" s="9">
        <v>4376395468.3297386</v>
      </c>
      <c r="K402" s="9">
        <v>4453897405.5184078</v>
      </c>
      <c r="L402" s="9">
        <v>4632832003.3192968</v>
      </c>
      <c r="M402" s="9">
        <v>4818956963.7832642</v>
      </c>
      <c r="N402" s="9">
        <v>5012557805.7643166</v>
      </c>
      <c r="O402" s="9">
        <v>5213937065.2841949</v>
      </c>
      <c r="P402" s="9">
        <v>5423406605.8700228</v>
      </c>
      <c r="Q402" s="9">
        <v>5641290751.6709099</v>
      </c>
    </row>
    <row r="403" spans="2:17" outlineLevel="1" x14ac:dyDescent="0.25">
      <c r="H403" s="1">
        <v>13.766166309778097</v>
      </c>
    </row>
    <row r="404" spans="2:17" s="16" customFormat="1" outlineLevel="1" x14ac:dyDescent="0.25">
      <c r="B404" s="110" t="s">
        <v>1070</v>
      </c>
      <c r="D404" s="12">
        <v>231337558977</v>
      </c>
      <c r="E404" s="12">
        <v>510154477154</v>
      </c>
      <c r="F404" s="12">
        <v>801950711270.19678</v>
      </c>
      <c r="G404" s="12">
        <v>830740904304.36182</v>
      </c>
      <c r="H404" s="12">
        <v>837873672011.07373</v>
      </c>
      <c r="I404" s="12">
        <v>852918414481.38843</v>
      </c>
      <c r="J404" s="12">
        <v>868385952577.66113</v>
      </c>
      <c r="K404" s="12">
        <v>882878814831.94226</v>
      </c>
      <c r="L404" s="12">
        <v>916339584620.7085</v>
      </c>
      <c r="M404" s="12">
        <v>951144952227.47046</v>
      </c>
      <c r="N404" s="12">
        <v>987348309677.92725</v>
      </c>
      <c r="O404" s="12">
        <v>1025006231208.1445</v>
      </c>
      <c r="P404" s="12">
        <v>1064177035297.6942</v>
      </c>
      <c r="Q404" s="12">
        <v>1104921370562.4602</v>
      </c>
    </row>
    <row r="405" spans="2:17" outlineLevel="1" x14ac:dyDescent="0.25">
      <c r="B405" s="109" t="s">
        <v>1058</v>
      </c>
      <c r="C405" s="9" t="s">
        <v>11</v>
      </c>
      <c r="D405" s="9">
        <v>231337558977</v>
      </c>
      <c r="E405" s="9">
        <v>367888340238</v>
      </c>
      <c r="F405" s="9">
        <v>632774601960</v>
      </c>
      <c r="G405" s="9">
        <v>658223787229.95117</v>
      </c>
      <c r="H405" s="9">
        <v>658425667163.01392</v>
      </c>
      <c r="I405" s="9">
        <v>666261130578.27979</v>
      </c>
      <c r="J405" s="9">
        <v>674229729159.09106</v>
      </c>
      <c r="K405" s="9">
        <v>680922377356.47424</v>
      </c>
      <c r="L405" s="9">
        <v>706269580391.72729</v>
      </c>
      <c r="M405" s="9">
        <v>732635343194.39282</v>
      </c>
      <c r="N405" s="9">
        <v>760060111292.90356</v>
      </c>
      <c r="O405" s="9">
        <v>788586740803.75537</v>
      </c>
      <c r="P405" s="9">
        <v>818259409142.82239</v>
      </c>
      <c r="Q405" s="9">
        <v>849124058850.88635</v>
      </c>
    </row>
    <row r="406" spans="2:17" outlineLevel="1" x14ac:dyDescent="0.25">
      <c r="B406" s="121" t="s">
        <v>1136</v>
      </c>
      <c r="C406" s="9" t="s">
        <v>11</v>
      </c>
      <c r="D406" s="9"/>
      <c r="E406" s="9"/>
      <c r="F406" s="9">
        <v>582774601960</v>
      </c>
      <c r="G406" s="9">
        <v>608223787229.95117</v>
      </c>
      <c r="H406" s="9">
        <v>608425667163.01392</v>
      </c>
      <c r="I406" s="9">
        <v>616261130578.27979</v>
      </c>
      <c r="J406" s="9">
        <v>624229729159.09106</v>
      </c>
      <c r="K406" s="9">
        <v>630922377356.47424</v>
      </c>
      <c r="L406" s="9">
        <v>656269580391.72729</v>
      </c>
      <c r="M406" s="9">
        <v>682635343194.39282</v>
      </c>
      <c r="N406" s="9">
        <v>710060111292.90356</v>
      </c>
      <c r="O406" s="9">
        <v>738586740803.75537</v>
      </c>
      <c r="P406" s="9">
        <v>768259409142.82239</v>
      </c>
      <c r="Q406" s="9">
        <v>799124058850.88635</v>
      </c>
    </row>
    <row r="407" spans="2:17" outlineLevel="1" x14ac:dyDescent="0.25">
      <c r="B407" s="121" t="s">
        <v>1425</v>
      </c>
      <c r="C407" s="9" t="s">
        <v>11</v>
      </c>
      <c r="D407" s="9"/>
      <c r="E407" s="9"/>
      <c r="F407" s="13">
        <v>50000000000</v>
      </c>
      <c r="G407" s="9">
        <v>50000000000</v>
      </c>
      <c r="H407" s="9">
        <v>50000000000</v>
      </c>
      <c r="I407" s="9">
        <v>50000000000</v>
      </c>
      <c r="J407" s="9">
        <v>50000000000</v>
      </c>
      <c r="K407" s="9">
        <v>50000000000</v>
      </c>
      <c r="L407" s="9">
        <v>50000000000</v>
      </c>
      <c r="M407" s="9">
        <v>50000000000</v>
      </c>
      <c r="N407" s="9">
        <v>50000000000</v>
      </c>
      <c r="O407" s="9">
        <v>50000000000</v>
      </c>
      <c r="P407" s="9">
        <v>50000000000</v>
      </c>
      <c r="Q407" s="9">
        <v>50000000000</v>
      </c>
    </row>
    <row r="408" spans="2:17" outlineLevel="1" x14ac:dyDescent="0.25">
      <c r="B408" s="121" t="s">
        <v>1579</v>
      </c>
      <c r="C408" s="9"/>
      <c r="D408" s="9"/>
      <c r="E408" s="9"/>
      <c r="F408" s="13"/>
      <c r="G408" s="9">
        <v>0</v>
      </c>
      <c r="H408" s="9"/>
      <c r="I408" s="9"/>
      <c r="J408" s="9"/>
      <c r="K408" s="9"/>
      <c r="L408" s="9"/>
      <c r="M408" s="9"/>
      <c r="N408" s="9"/>
      <c r="O408" s="9"/>
      <c r="P408" s="9"/>
      <c r="Q408" s="9"/>
    </row>
    <row r="409" spans="2:17" outlineLevel="1" x14ac:dyDescent="0.25">
      <c r="B409" s="109" t="s">
        <v>1059</v>
      </c>
      <c r="C409" s="9" t="s">
        <v>11</v>
      </c>
      <c r="D409" s="9">
        <v>0</v>
      </c>
      <c r="E409" s="9">
        <v>142266136916</v>
      </c>
      <c r="F409" s="9">
        <v>169176109310.19681</v>
      </c>
      <c r="G409" s="9">
        <v>172517117074.41061</v>
      </c>
      <c r="H409" s="9">
        <v>179448004848.05978</v>
      </c>
      <c r="I409" s="9">
        <v>186657283903.10867</v>
      </c>
      <c r="J409" s="9">
        <v>194156223418.57007</v>
      </c>
      <c r="K409" s="9">
        <v>201956437475.46799</v>
      </c>
      <c r="L409" s="9">
        <v>210070004228.98126</v>
      </c>
      <c r="M409" s="9">
        <v>218509609033.07761</v>
      </c>
      <c r="N409" s="9">
        <v>227288198385.02374</v>
      </c>
      <c r="O409" s="9">
        <v>236419490404.3891</v>
      </c>
      <c r="P409" s="9">
        <v>245917626154.87186</v>
      </c>
      <c r="Q409" s="9">
        <v>255797311711.57385</v>
      </c>
    </row>
    <row r="410" spans="2:17" x14ac:dyDescent="0.25">
      <c r="B410" s="10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</row>
    <row r="411" spans="2:17" s="16" customFormat="1" x14ac:dyDescent="0.25">
      <c r="B411" s="17" t="s">
        <v>1137</v>
      </c>
      <c r="C411" s="17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</row>
    <row r="412" spans="2:17" outlineLevel="1" x14ac:dyDescent="0.25"/>
    <row r="413" spans="2:17" outlineLevel="1" x14ac:dyDescent="0.25">
      <c r="B413" s="110" t="s">
        <v>1071</v>
      </c>
    </row>
    <row r="414" spans="2:17" s="122" customFormat="1" outlineLevel="1" x14ac:dyDescent="0.25">
      <c r="B414" s="123" t="s">
        <v>1062</v>
      </c>
      <c r="C414" s="122" t="s">
        <v>1138</v>
      </c>
      <c r="D414" s="122">
        <v>2.5124139213000403</v>
      </c>
      <c r="E414" s="122">
        <v>14.446838561316651</v>
      </c>
      <c r="F414" s="122">
        <v>23.505425403473101</v>
      </c>
      <c r="G414" s="126">
        <v>20</v>
      </c>
      <c r="H414" s="122">
        <v>20</v>
      </c>
      <c r="I414" s="122">
        <v>20</v>
      </c>
      <c r="J414" s="122">
        <v>20</v>
      </c>
      <c r="K414" s="122">
        <v>20</v>
      </c>
      <c r="L414" s="122">
        <v>20</v>
      </c>
      <c r="M414" s="122">
        <v>20</v>
      </c>
      <c r="N414" s="122">
        <v>20</v>
      </c>
      <c r="O414" s="122">
        <v>20</v>
      </c>
      <c r="P414" s="122">
        <v>20</v>
      </c>
      <c r="Q414" s="122">
        <v>20</v>
      </c>
    </row>
    <row r="415" spans="2:17" outlineLevel="1" x14ac:dyDescent="0.25">
      <c r="B415" s="109" t="s">
        <v>1063</v>
      </c>
      <c r="C415" t="s">
        <v>1139</v>
      </c>
      <c r="D415" s="116">
        <v>361.5810148794863</v>
      </c>
      <c r="E415" s="116">
        <v>100.08054506903235</v>
      </c>
      <c r="F415" s="116">
        <v>131.78491970735476</v>
      </c>
      <c r="G415" s="126">
        <v>130</v>
      </c>
      <c r="H415" s="122">
        <v>130</v>
      </c>
      <c r="I415" s="122">
        <v>130</v>
      </c>
      <c r="J415" s="122">
        <v>130</v>
      </c>
      <c r="K415" s="122">
        <v>130</v>
      </c>
      <c r="L415" s="122">
        <v>130</v>
      </c>
      <c r="M415" s="122">
        <v>130</v>
      </c>
      <c r="N415" s="122">
        <v>130</v>
      </c>
      <c r="O415" s="122">
        <v>130</v>
      </c>
      <c r="P415" s="122">
        <v>130</v>
      </c>
      <c r="Q415" s="122">
        <v>130</v>
      </c>
    </row>
    <row r="416" spans="2:17" outlineLevel="1" x14ac:dyDescent="0.25">
      <c r="B416" s="109" t="s">
        <v>1055</v>
      </c>
      <c r="C416" t="s">
        <v>1140</v>
      </c>
      <c r="D416" s="116">
        <v>0.1329652461900275</v>
      </c>
      <c r="E416" s="116">
        <v>0.30939227109667983</v>
      </c>
      <c r="F416" s="116">
        <v>0.56804457457374857</v>
      </c>
      <c r="G416" s="126">
        <v>0.5</v>
      </c>
      <c r="H416" s="122">
        <v>0.5</v>
      </c>
      <c r="I416" s="122">
        <v>0.5</v>
      </c>
      <c r="J416" s="122">
        <v>0.5</v>
      </c>
      <c r="K416" s="122">
        <v>0.5</v>
      </c>
      <c r="L416" s="122">
        <v>0.5</v>
      </c>
      <c r="M416" s="122">
        <v>0.5</v>
      </c>
      <c r="N416" s="122">
        <v>0.5</v>
      </c>
      <c r="O416" s="122">
        <v>0.5</v>
      </c>
      <c r="P416" s="122">
        <v>0.5</v>
      </c>
      <c r="Q416" s="122">
        <v>0.5</v>
      </c>
    </row>
    <row r="417" spans="2:17" outlineLevel="1" x14ac:dyDescent="0.25">
      <c r="B417" s="109" t="s">
        <v>1064</v>
      </c>
      <c r="C417" t="s">
        <v>1140</v>
      </c>
      <c r="D417" s="116">
        <v>0.37644070810191071</v>
      </c>
      <c r="E417" s="116">
        <v>0.38582039362637427</v>
      </c>
      <c r="F417" s="116">
        <v>0.18762992771662415</v>
      </c>
      <c r="G417" s="126">
        <v>0.2</v>
      </c>
      <c r="H417" s="122">
        <v>0.2</v>
      </c>
      <c r="I417" s="122">
        <v>0.2</v>
      </c>
      <c r="J417" s="122">
        <v>0.2</v>
      </c>
      <c r="K417" s="122">
        <v>0.2</v>
      </c>
      <c r="L417" s="122">
        <v>0.2</v>
      </c>
      <c r="M417" s="122">
        <v>0.2</v>
      </c>
      <c r="N417" s="122">
        <v>0.2</v>
      </c>
      <c r="O417" s="122">
        <v>0.2</v>
      </c>
      <c r="P417" s="122">
        <v>0.2</v>
      </c>
      <c r="Q417" s="122">
        <v>0.2</v>
      </c>
    </row>
    <row r="418" spans="2:17" outlineLevel="1" x14ac:dyDescent="0.25"/>
    <row r="419" spans="2:17" s="9" customFormat="1" outlineLevel="1" x14ac:dyDescent="0.25">
      <c r="B419" s="124" t="s">
        <v>1071</v>
      </c>
    </row>
    <row r="420" spans="2:17" s="9" customFormat="1" outlineLevel="1" x14ac:dyDescent="0.25">
      <c r="B420" s="125" t="s">
        <v>1062</v>
      </c>
      <c r="C420" s="9" t="s">
        <v>11</v>
      </c>
      <c r="D420" s="9">
        <v>319190782</v>
      </c>
      <c r="E420" s="9">
        <v>1168712162</v>
      </c>
      <c r="F420" s="9">
        <v>2344303138</v>
      </c>
      <c r="G420" s="9">
        <v>2005555555.5555556</v>
      </c>
      <c r="H420" s="9">
        <v>2095805555.5555556</v>
      </c>
      <c r="I420" s="9">
        <v>2190116805.5555553</v>
      </c>
      <c r="J420" s="9">
        <v>2288672061.8055553</v>
      </c>
      <c r="K420" s="9">
        <v>2391662304.5868058</v>
      </c>
      <c r="L420" s="9">
        <v>2499287108.2932119</v>
      </c>
      <c r="M420" s="9">
        <v>2611755028.1664057</v>
      </c>
      <c r="N420" s="9">
        <v>2729284004.4338942</v>
      </c>
      <c r="O420" s="9">
        <v>2852101784.6334195</v>
      </c>
      <c r="P420" s="9">
        <v>2980446364.9419231</v>
      </c>
      <c r="Q420" s="9">
        <v>3114566451.3643093</v>
      </c>
    </row>
    <row r="421" spans="2:17" s="9" customFormat="1" outlineLevel="1" x14ac:dyDescent="0.25">
      <c r="B421" s="125" t="s">
        <v>1063</v>
      </c>
      <c r="C421" s="9" t="s">
        <v>11</v>
      </c>
      <c r="D421" s="9">
        <v>9421673574</v>
      </c>
      <c r="E421" s="9">
        <v>8033154825</v>
      </c>
      <c r="F421" s="9">
        <v>6024019286</v>
      </c>
      <c r="G421" s="9">
        <v>6168389017.0518064</v>
      </c>
      <c r="H421" s="9">
        <v>6514282632.6486206</v>
      </c>
      <c r="I421" s="9">
        <v>6607732524.7913198</v>
      </c>
      <c r="J421" s="9">
        <v>6839003163.1590137</v>
      </c>
      <c r="K421" s="9">
        <v>7078368273.8695784</v>
      </c>
      <c r="L421" s="9">
        <v>7326111163.4550161</v>
      </c>
      <c r="M421" s="9">
        <v>7582525054.1759424</v>
      </c>
      <c r="N421" s="9">
        <v>7847913431.0721045</v>
      </c>
      <c r="O421" s="9">
        <v>8122590401.1596241</v>
      </c>
      <c r="P421" s="9">
        <v>8406881065.2002039</v>
      </c>
      <c r="Q421" s="9">
        <v>8701121902.482214</v>
      </c>
    </row>
    <row r="422" spans="2:17" s="9" customFormat="1" outlineLevel="1" x14ac:dyDescent="0.25">
      <c r="B422" s="125" t="s">
        <v>1055</v>
      </c>
      <c r="C422" s="9" t="s">
        <v>11</v>
      </c>
      <c r="D422" s="9">
        <v>439681158</v>
      </c>
      <c r="E422" s="9">
        <v>1160181023</v>
      </c>
      <c r="F422" s="9">
        <v>2279145562</v>
      </c>
      <c r="G422" s="9">
        <v>2045751180.2045443</v>
      </c>
      <c r="H422" s="9">
        <v>2127939383.2261167</v>
      </c>
      <c r="I422" s="9">
        <v>2213428819.784049</v>
      </c>
      <c r="J422" s="9">
        <v>2302353122.6253762</v>
      </c>
      <c r="K422" s="9">
        <v>2394850014.4315629</v>
      </c>
      <c r="L422" s="9">
        <v>2491062720.9916248</v>
      </c>
      <c r="M422" s="9">
        <v>2591141668.4098864</v>
      </c>
      <c r="N422" s="9">
        <v>2695240379.4933138</v>
      </c>
      <c r="O422" s="9">
        <v>2803521527.1393862</v>
      </c>
      <c r="P422" s="9">
        <v>2916152799.6229858</v>
      </c>
      <c r="Q422" s="9">
        <v>3033308585.2657242</v>
      </c>
    </row>
    <row r="423" spans="2:17" s="9" customFormat="1" outlineLevel="1" x14ac:dyDescent="0.25">
      <c r="B423" s="125" t="s">
        <v>1064</v>
      </c>
      <c r="C423" s="9" t="s">
        <v>11</v>
      </c>
      <c r="D423" s="9">
        <v>1244790584</v>
      </c>
      <c r="E423" s="9">
        <v>1446776603</v>
      </c>
      <c r="F423" s="9">
        <v>752821057</v>
      </c>
      <c r="G423" s="9">
        <v>818300472.08181775</v>
      </c>
      <c r="H423" s="9">
        <v>851175753.29044676</v>
      </c>
      <c r="I423" s="9">
        <v>885371527.91361964</v>
      </c>
      <c r="J423" s="9">
        <v>920941249.05015051</v>
      </c>
      <c r="K423" s="9">
        <v>957940005.77262521</v>
      </c>
      <c r="L423" s="9">
        <v>996425088.39664996</v>
      </c>
      <c r="M423" s="9">
        <v>1036456667.3639545</v>
      </c>
      <c r="N423" s="9">
        <v>1078096151.7973256</v>
      </c>
      <c r="O423" s="9">
        <v>1121408610.8557546</v>
      </c>
      <c r="P423" s="9">
        <v>1166461119.8491943</v>
      </c>
      <c r="Q423" s="9">
        <v>1213323434.1062896</v>
      </c>
    </row>
    <row r="424" spans="2:17" s="9" customFormat="1" x14ac:dyDescent="0.25"/>
    <row r="425" spans="2:17" s="16" customFormat="1" x14ac:dyDescent="0.25">
      <c r="B425" s="17" t="s">
        <v>1141</v>
      </c>
      <c r="C425" s="17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</row>
    <row r="426" spans="2:17" s="9" customFormat="1" outlineLevel="1" x14ac:dyDescent="0.25"/>
    <row r="427" spans="2:17" s="9" customFormat="1" outlineLevel="1" x14ac:dyDescent="0.25">
      <c r="B427" s="110" t="s">
        <v>150</v>
      </c>
    </row>
    <row r="428" spans="2:17" s="9" customFormat="1" outlineLevel="1" x14ac:dyDescent="0.25">
      <c r="B428" s="109" t="s">
        <v>1055</v>
      </c>
      <c r="C428" t="s">
        <v>1140</v>
      </c>
      <c r="D428" s="116">
        <v>13.576225770470515</v>
      </c>
      <c r="E428" s="116">
        <v>8.975820766418602</v>
      </c>
      <c r="F428" s="116">
        <v>4.9006183246783461</v>
      </c>
      <c r="G428" s="127">
        <v>5</v>
      </c>
      <c r="H428" s="116">
        <v>5</v>
      </c>
      <c r="I428" s="116">
        <v>5</v>
      </c>
      <c r="J428" s="116">
        <v>5</v>
      </c>
      <c r="K428" s="116">
        <v>5</v>
      </c>
      <c r="L428" s="116">
        <v>5</v>
      </c>
      <c r="M428" s="116">
        <v>5</v>
      </c>
      <c r="N428" s="116">
        <v>5</v>
      </c>
      <c r="O428" s="116">
        <v>5</v>
      </c>
      <c r="P428" s="116">
        <v>5</v>
      </c>
      <c r="Q428" s="116">
        <v>5</v>
      </c>
    </row>
    <row r="429" spans="2:17" s="9" customFormat="1" outlineLevel="1" x14ac:dyDescent="0.25">
      <c r="B429" s="109" t="s">
        <v>1056</v>
      </c>
      <c r="C429" t="s">
        <v>1140</v>
      </c>
      <c r="D429" s="116">
        <v>0</v>
      </c>
      <c r="E429" s="116">
        <v>0.25643842520803478</v>
      </c>
      <c r="F429" s="116">
        <v>0.85490491842362704</v>
      </c>
      <c r="G429" s="127">
        <v>0.85</v>
      </c>
      <c r="H429" s="116">
        <v>0.85</v>
      </c>
      <c r="I429" s="116">
        <v>0.85</v>
      </c>
      <c r="J429" s="116">
        <v>0.85</v>
      </c>
      <c r="K429" s="116">
        <v>0.85</v>
      </c>
      <c r="L429" s="116">
        <v>0.85</v>
      </c>
      <c r="M429" s="116">
        <v>0.85</v>
      </c>
      <c r="N429" s="116">
        <v>0.85</v>
      </c>
      <c r="O429" s="116">
        <v>0.85</v>
      </c>
      <c r="P429" s="116">
        <v>0.85</v>
      </c>
      <c r="Q429" s="116">
        <v>0.85</v>
      </c>
    </row>
    <row r="430" spans="2:17" s="9" customFormat="1" outlineLevel="1" x14ac:dyDescent="0.25"/>
    <row r="431" spans="2:17" s="9" customFormat="1" outlineLevel="1" x14ac:dyDescent="0.25">
      <c r="B431" s="110" t="s">
        <v>150</v>
      </c>
    </row>
    <row r="432" spans="2:17" s="9" customFormat="1" outlineLevel="1" x14ac:dyDescent="0.25">
      <c r="B432" s="109" t="s">
        <v>1055</v>
      </c>
      <c r="C432" s="9" t="s">
        <v>11</v>
      </c>
      <c r="D432" s="9">
        <v>44893014070</v>
      </c>
      <c r="E432" s="9">
        <v>33658167614</v>
      </c>
      <c r="F432" s="9">
        <v>19662581082</v>
      </c>
      <c r="G432" s="9">
        <v>20457511802.045444</v>
      </c>
      <c r="H432" s="9">
        <v>21279393832.261166</v>
      </c>
      <c r="I432" s="9">
        <v>22134288197.840492</v>
      </c>
      <c r="J432" s="9">
        <v>23023531226.253761</v>
      </c>
      <c r="K432" s="9">
        <v>23948500144.315628</v>
      </c>
      <c r="L432" s="9">
        <v>24910627209.916248</v>
      </c>
      <c r="M432" s="9">
        <v>25911416684.098862</v>
      </c>
      <c r="N432" s="9">
        <v>26952403794.933136</v>
      </c>
      <c r="O432" s="9">
        <v>28035215271.39386</v>
      </c>
      <c r="P432" s="9">
        <v>29161527996.229858</v>
      </c>
      <c r="Q432" s="9">
        <v>30333085852.657242</v>
      </c>
    </row>
    <row r="433" spans="2:17" s="9" customFormat="1" outlineLevel="1" x14ac:dyDescent="0.25">
      <c r="B433" s="109" t="s">
        <v>1056</v>
      </c>
      <c r="C433" s="9" t="s">
        <v>11</v>
      </c>
      <c r="D433" s="9">
        <v>0</v>
      </c>
      <c r="E433" s="9">
        <v>961610946</v>
      </c>
      <c r="F433" s="9">
        <v>3430105379</v>
      </c>
      <c r="G433" s="9">
        <v>3477777006.3477254</v>
      </c>
      <c r="H433" s="9">
        <v>3617496951.4843984</v>
      </c>
      <c r="I433" s="9">
        <v>3762828993.6328831</v>
      </c>
      <c r="J433" s="9">
        <v>3914000308.4631395</v>
      </c>
      <c r="K433" s="9">
        <v>4071245024.5336566</v>
      </c>
      <c r="L433" s="9">
        <v>4234806625.6857619</v>
      </c>
      <c r="M433" s="9">
        <v>4404940836.2968063</v>
      </c>
      <c r="N433" s="9">
        <v>4581908645.1386337</v>
      </c>
      <c r="O433" s="9">
        <v>4765986596.1369562</v>
      </c>
      <c r="P433" s="9">
        <v>4957459759.3590755</v>
      </c>
      <c r="Q433" s="9">
        <v>5156624594.9517307</v>
      </c>
    </row>
    <row r="434" spans="2:17" s="9" customFormat="1" x14ac:dyDescent="0.25"/>
    <row r="435" spans="2:17" s="16" customFormat="1" x14ac:dyDescent="0.25">
      <c r="B435" s="17" t="s">
        <v>1142</v>
      </c>
      <c r="C435" s="17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</row>
    <row r="436" spans="2:17" s="9" customFormat="1" outlineLevel="1" x14ac:dyDescent="0.25"/>
    <row r="437" spans="2:17" s="9" customFormat="1" outlineLevel="1" x14ac:dyDescent="0.25">
      <c r="B437" s="12" t="s">
        <v>1143</v>
      </c>
    </row>
    <row r="438" spans="2:17" s="9" customFormat="1" outlineLevel="1" x14ac:dyDescent="0.25">
      <c r="B438" s="108" t="s">
        <v>1052</v>
      </c>
      <c r="D438" s="9">
        <v>374245259</v>
      </c>
      <c r="E438" s="9">
        <v>981987430</v>
      </c>
      <c r="F438" s="9">
        <v>915936918</v>
      </c>
      <c r="G438" s="9">
        <v>915936918</v>
      </c>
      <c r="H438" s="9">
        <v>915936918</v>
      </c>
      <c r="I438" s="9">
        <v>915936918</v>
      </c>
      <c r="J438" s="9">
        <v>915936918</v>
      </c>
      <c r="K438" s="9">
        <v>915936918</v>
      </c>
      <c r="L438" s="9">
        <v>915936918</v>
      </c>
      <c r="M438" s="9">
        <v>915936918</v>
      </c>
      <c r="N438" s="9">
        <v>915936918</v>
      </c>
      <c r="O438" s="9">
        <v>915936918</v>
      </c>
      <c r="P438" s="9">
        <v>915936918</v>
      </c>
      <c r="Q438" s="9">
        <v>915936918</v>
      </c>
    </row>
    <row r="439" spans="2:17" s="9" customFormat="1" outlineLevel="1" x14ac:dyDescent="0.25">
      <c r="B439" s="108" t="s">
        <v>1152</v>
      </c>
      <c r="D439" s="9">
        <v>-187588065</v>
      </c>
      <c r="E439" s="9">
        <v>-232274851</v>
      </c>
      <c r="F439" s="9">
        <v>-104643142</v>
      </c>
      <c r="G439" s="9">
        <v>-254643142</v>
      </c>
      <c r="H439" s="9">
        <v>-404643142</v>
      </c>
      <c r="I439" s="9">
        <v>-554643142</v>
      </c>
      <c r="J439" s="9">
        <v>-704643142</v>
      </c>
      <c r="K439" s="9">
        <v>-854643142</v>
      </c>
      <c r="L439" s="9">
        <v>-915936918</v>
      </c>
      <c r="M439" s="9">
        <v>-915936918</v>
      </c>
      <c r="N439" s="9">
        <v>-915936918</v>
      </c>
      <c r="O439" s="9">
        <v>-915936918</v>
      </c>
      <c r="P439" s="9">
        <v>-915936918</v>
      </c>
      <c r="Q439" s="9">
        <v>-915936918</v>
      </c>
    </row>
    <row r="440" spans="2:17" s="9" customFormat="1" outlineLevel="1" x14ac:dyDescent="0.25">
      <c r="B440" s="108" t="s">
        <v>1145</v>
      </c>
      <c r="G440" s="13">
        <v>150000000</v>
      </c>
      <c r="H440" s="13">
        <v>150000000</v>
      </c>
      <c r="I440" s="13">
        <v>150000000</v>
      </c>
      <c r="J440" s="13">
        <v>150000000</v>
      </c>
      <c r="K440" s="13">
        <v>150000000</v>
      </c>
      <c r="L440" s="9">
        <v>61293776</v>
      </c>
    </row>
    <row r="441" spans="2:17" s="9" customFormat="1" outlineLevel="1" x14ac:dyDescent="0.25"/>
    <row r="442" spans="2:17" s="9" customFormat="1" outlineLevel="1" x14ac:dyDescent="0.25">
      <c r="B442" s="12" t="s">
        <v>1144</v>
      </c>
    </row>
    <row r="443" spans="2:17" s="9" customFormat="1" outlineLevel="1" x14ac:dyDescent="0.25">
      <c r="B443" s="108" t="s">
        <v>1052</v>
      </c>
      <c r="C443" s="9" t="s">
        <v>11</v>
      </c>
      <c r="G443" s="9">
        <v>589176339.89890885</v>
      </c>
      <c r="H443" s="9">
        <v>1202022882.2680306</v>
      </c>
      <c r="I443" s="9">
        <v>1839490382.3658366</v>
      </c>
      <c r="J443" s="9">
        <v>2502568081.6819448</v>
      </c>
      <c r="K443" s="9">
        <v>3192284885.8382349</v>
      </c>
      <c r="L443" s="9">
        <v>3909710949.4838228</v>
      </c>
      <c r="M443" s="9">
        <v>4655959749.9858704</v>
      </c>
      <c r="N443" s="9">
        <v>5432188979.2799444</v>
      </c>
      <c r="O443" s="9">
        <v>6239603179.0960875</v>
      </c>
      <c r="P443" s="9">
        <v>7079455185.3875074</v>
      </c>
      <c r="Q443" s="9">
        <v>7953048057.9440365</v>
      </c>
    </row>
    <row r="444" spans="2:17" s="9" customFormat="1" outlineLevel="1" x14ac:dyDescent="0.25">
      <c r="B444" s="109" t="s">
        <v>1147</v>
      </c>
      <c r="C444" s="9" t="s">
        <v>11</v>
      </c>
      <c r="G444" s="9">
        <v>589176339.89890885</v>
      </c>
      <c r="H444" s="9">
        <v>612846542.36912167</v>
      </c>
      <c r="I444" s="9">
        <v>637467500.0978061</v>
      </c>
      <c r="J444" s="9">
        <v>663077699.31610847</v>
      </c>
      <c r="K444" s="9">
        <v>689716804.15629017</v>
      </c>
      <c r="L444" s="9">
        <v>717426063.64558804</v>
      </c>
      <c r="M444" s="9">
        <v>746248800.5020473</v>
      </c>
      <c r="N444" s="9">
        <v>776229229.2940743</v>
      </c>
      <c r="O444" s="9">
        <v>807414199.81614316</v>
      </c>
      <c r="P444" s="9">
        <v>839852006.29141998</v>
      </c>
      <c r="Q444" s="9">
        <v>873592872.55652869</v>
      </c>
    </row>
    <row r="445" spans="2:17" s="9" customFormat="1" outlineLevel="1" x14ac:dyDescent="0.25">
      <c r="B445" s="109" t="s">
        <v>1146</v>
      </c>
      <c r="C445" s="131" t="s">
        <v>1150</v>
      </c>
      <c r="G445" s="128">
        <v>4.0000000000000002E-4</v>
      </c>
      <c r="H445" s="129">
        <v>4.0000000000000002E-4</v>
      </c>
      <c r="I445" s="129">
        <v>4.0000000000000002E-4</v>
      </c>
      <c r="J445" s="129">
        <v>4.0000000000000002E-4</v>
      </c>
      <c r="K445" s="129">
        <v>4.0000000000000002E-4</v>
      </c>
      <c r="L445" s="129">
        <v>4.0000000000000002E-4</v>
      </c>
      <c r="M445" s="129">
        <v>4.0000000000000002E-4</v>
      </c>
      <c r="N445" s="129">
        <v>4.0000000000000002E-4</v>
      </c>
      <c r="O445" s="129">
        <v>4.0000000000000002E-4</v>
      </c>
      <c r="P445" s="129">
        <v>4.0000000000000002E-4</v>
      </c>
      <c r="Q445" s="129">
        <v>4.0000000000000002E-4</v>
      </c>
    </row>
    <row r="446" spans="2:17" s="9" customFormat="1" outlineLevel="1" x14ac:dyDescent="0.25">
      <c r="B446" s="108" t="s">
        <v>1145</v>
      </c>
      <c r="C446" s="9" t="s">
        <v>11</v>
      </c>
      <c r="G446" s="9">
        <v>117835267.97978178</v>
      </c>
      <c r="H446" s="9">
        <v>240404576.45360613</v>
      </c>
      <c r="I446" s="9">
        <v>367898076.47316736</v>
      </c>
      <c r="J446" s="9">
        <v>500513616.33638906</v>
      </c>
      <c r="K446" s="9">
        <v>638456977.16764712</v>
      </c>
      <c r="L446" s="9">
        <v>664106921.91698289</v>
      </c>
      <c r="M446" s="9">
        <v>690787373.5435679</v>
      </c>
      <c r="N446" s="9">
        <v>718539719.38282168</v>
      </c>
      <c r="O446" s="9">
        <v>747407019.48282862</v>
      </c>
      <c r="P446" s="9">
        <v>777434059.90985453</v>
      </c>
      <c r="Q446" s="9">
        <v>808667421.69204283</v>
      </c>
    </row>
    <row r="447" spans="2:17" s="9" customFormat="1" outlineLevel="1" x14ac:dyDescent="0.25">
      <c r="B447" s="108" t="s">
        <v>1152</v>
      </c>
      <c r="C447" s="9" t="s">
        <v>11</v>
      </c>
      <c r="G447" s="9">
        <v>-117835267.97978178</v>
      </c>
      <c r="H447" s="9">
        <v>-358239844.43338788</v>
      </c>
      <c r="I447" s="9">
        <v>-726137920.90655518</v>
      </c>
      <c r="J447" s="9">
        <v>-1226651537.2429442</v>
      </c>
      <c r="K447" s="9">
        <v>-1865108514.4105914</v>
      </c>
      <c r="L447" s="9">
        <v>-2529215436.3275743</v>
      </c>
      <c r="M447" s="9">
        <v>-3220002809.8711424</v>
      </c>
      <c r="N447" s="9">
        <v>-3938542529.2539639</v>
      </c>
      <c r="O447" s="9">
        <v>-4685949548.7367926</v>
      </c>
      <c r="P447" s="9">
        <v>-5463383608.6466475</v>
      </c>
      <c r="Q447" s="9">
        <v>-6272051030.3386898</v>
      </c>
    </row>
    <row r="448" spans="2:17" s="9" customFormat="1" outlineLevel="1" x14ac:dyDescent="0.25">
      <c r="B448" s="108" t="s">
        <v>1148</v>
      </c>
      <c r="C448" s="9" t="s">
        <v>1149</v>
      </c>
      <c r="G448" s="5">
        <v>5</v>
      </c>
      <c r="H448" s="1">
        <v>5</v>
      </c>
      <c r="I448" s="1">
        <v>5</v>
      </c>
      <c r="J448" s="1">
        <v>5</v>
      </c>
      <c r="K448" s="1">
        <v>5</v>
      </c>
      <c r="L448" s="1">
        <v>5</v>
      </c>
      <c r="M448" s="1">
        <v>5</v>
      </c>
      <c r="N448" s="1">
        <v>5</v>
      </c>
      <c r="O448" s="1">
        <v>5</v>
      </c>
      <c r="P448" s="1">
        <v>5</v>
      </c>
      <c r="Q448" s="1">
        <v>5</v>
      </c>
    </row>
    <row r="449" spans="2:17" s="9" customFormat="1" outlineLevel="1" x14ac:dyDescent="0.25">
      <c r="B449" s="130" t="s">
        <v>1102</v>
      </c>
      <c r="C449" s="9" t="s">
        <v>11</v>
      </c>
      <c r="G449" s="9">
        <v>117835267.97978178</v>
      </c>
      <c r="H449" s="9">
        <v>117835267.97978178</v>
      </c>
      <c r="I449" s="9">
        <v>117835267.97978178</v>
      </c>
      <c r="J449" s="9">
        <v>117835267.97978178</v>
      </c>
      <c r="K449" s="9">
        <v>117835267.97978178</v>
      </c>
    </row>
    <row r="450" spans="2:17" s="9" customFormat="1" outlineLevel="1" x14ac:dyDescent="0.25">
      <c r="B450" s="130" t="s">
        <v>1103</v>
      </c>
      <c r="C450" s="9" t="s">
        <v>11</v>
      </c>
      <c r="H450" s="9">
        <v>122569308.47382434</v>
      </c>
      <c r="I450" s="9">
        <v>122569308.47382434</v>
      </c>
      <c r="J450" s="9">
        <v>122569308.47382434</v>
      </c>
      <c r="K450" s="9">
        <v>122569308.47382434</v>
      </c>
      <c r="L450" s="9">
        <v>122569308.47382434</v>
      </c>
    </row>
    <row r="451" spans="2:17" s="9" customFormat="1" outlineLevel="1" x14ac:dyDescent="0.25">
      <c r="B451" s="130" t="s">
        <v>1104</v>
      </c>
      <c r="C451" s="9" t="s">
        <v>11</v>
      </c>
      <c r="I451" s="9">
        <v>127493500.01956122</v>
      </c>
      <c r="J451" s="9">
        <v>127493500.01956122</v>
      </c>
      <c r="K451" s="9">
        <v>127493500.01956122</v>
      </c>
      <c r="L451" s="9">
        <v>127493500.01956122</v>
      </c>
      <c r="M451" s="9">
        <v>127493500.01956122</v>
      </c>
    </row>
    <row r="452" spans="2:17" s="9" customFormat="1" outlineLevel="1" x14ac:dyDescent="0.25">
      <c r="B452" s="130" t="s">
        <v>1105</v>
      </c>
      <c r="C452" s="9" t="s">
        <v>11</v>
      </c>
      <c r="J452" s="9">
        <v>132615539.86322169</v>
      </c>
      <c r="K452" s="9">
        <v>132615539.86322169</v>
      </c>
      <c r="L452" s="9">
        <v>132615539.86322169</v>
      </c>
      <c r="M452" s="9">
        <v>132615539.86322169</v>
      </c>
      <c r="N452" s="9">
        <v>132615539.86322169</v>
      </c>
    </row>
    <row r="453" spans="2:17" s="9" customFormat="1" outlineLevel="1" x14ac:dyDescent="0.25">
      <c r="B453" s="130" t="s">
        <v>1106</v>
      </c>
      <c r="C453" s="9" t="s">
        <v>11</v>
      </c>
      <c r="K453" s="9">
        <v>137943360.83125803</v>
      </c>
      <c r="L453" s="9">
        <v>137943360.83125803</v>
      </c>
      <c r="M453" s="9">
        <v>137943360.83125803</v>
      </c>
      <c r="N453" s="9">
        <v>137943360.83125803</v>
      </c>
      <c r="O453" s="9">
        <v>137943360.83125803</v>
      </c>
    </row>
    <row r="454" spans="2:17" s="9" customFormat="1" outlineLevel="1" x14ac:dyDescent="0.25">
      <c r="B454" s="130" t="s">
        <v>1107</v>
      </c>
      <c r="C454" s="9" t="s">
        <v>11</v>
      </c>
      <c r="L454" s="9">
        <v>143485212.7291176</v>
      </c>
      <c r="M454" s="9">
        <v>143485212.7291176</v>
      </c>
      <c r="N454" s="9">
        <v>143485212.7291176</v>
      </c>
      <c r="O454" s="9">
        <v>143485212.7291176</v>
      </c>
      <c r="P454" s="9">
        <v>143485212.7291176</v>
      </c>
    </row>
    <row r="455" spans="2:17" s="9" customFormat="1" outlineLevel="1" x14ac:dyDescent="0.25">
      <c r="B455" s="130" t="s">
        <v>1108</v>
      </c>
      <c r="C455" s="9" t="s">
        <v>11</v>
      </c>
      <c r="M455" s="9">
        <v>149249760.10040945</v>
      </c>
      <c r="N455" s="9">
        <v>149249760.10040945</v>
      </c>
      <c r="O455" s="9">
        <v>149249760.10040945</v>
      </c>
      <c r="P455" s="9">
        <v>149249760.10040945</v>
      </c>
      <c r="Q455" s="9">
        <v>149249760.10040945</v>
      </c>
    </row>
    <row r="456" spans="2:17" s="9" customFormat="1" outlineLevel="1" x14ac:dyDescent="0.25">
      <c r="B456" s="130" t="s">
        <v>1346</v>
      </c>
      <c r="C456" s="9" t="s">
        <v>11</v>
      </c>
      <c r="N456" s="9">
        <v>155245845.85881487</v>
      </c>
      <c r="O456" s="9">
        <v>155245845.85881487</v>
      </c>
      <c r="P456" s="9">
        <v>155245845.85881487</v>
      </c>
      <c r="Q456" s="9">
        <v>155245845.85881487</v>
      </c>
    </row>
    <row r="457" spans="2:17" s="9" customFormat="1" outlineLevel="1" x14ac:dyDescent="0.25">
      <c r="B457" s="130" t="s">
        <v>1347</v>
      </c>
      <c r="C457" s="9" t="s">
        <v>11</v>
      </c>
      <c r="O457" s="9">
        <v>161482839.96322864</v>
      </c>
      <c r="P457" s="9">
        <v>161482839.96322864</v>
      </c>
      <c r="Q457" s="9">
        <v>161482839.96322864</v>
      </c>
    </row>
    <row r="458" spans="2:17" s="9" customFormat="1" outlineLevel="1" x14ac:dyDescent="0.25">
      <c r="B458" s="130" t="s">
        <v>1348</v>
      </c>
      <c r="C458" s="9" t="s">
        <v>11</v>
      </c>
      <c r="P458" s="9">
        <v>167970401.258284</v>
      </c>
      <c r="Q458" s="9">
        <v>167970401.258284</v>
      </c>
    </row>
    <row r="459" spans="2:17" s="9" customFormat="1" outlineLevel="1" x14ac:dyDescent="0.25">
      <c r="B459" s="130" t="s">
        <v>1349</v>
      </c>
      <c r="C459" s="9" t="s">
        <v>11</v>
      </c>
      <c r="Q459" s="9">
        <v>174718574.51130575</v>
      </c>
    </row>
    <row r="460" spans="2:17" s="9" customFormat="1" outlineLevel="1" x14ac:dyDescent="0.25">
      <c r="B460" s="130"/>
    </row>
    <row r="461" spans="2:17" s="9" customFormat="1" outlineLevel="1" x14ac:dyDescent="0.25">
      <c r="B461" s="12" t="s">
        <v>1151</v>
      </c>
    </row>
    <row r="462" spans="2:17" s="9" customFormat="1" outlineLevel="1" x14ac:dyDescent="0.25">
      <c r="B462" s="108" t="s">
        <v>1052</v>
      </c>
      <c r="C462" s="9" t="s">
        <v>11</v>
      </c>
      <c r="D462" s="9">
        <v>374245259</v>
      </c>
      <c r="E462" s="9">
        <v>981987430</v>
      </c>
      <c r="F462" s="9">
        <v>915936918</v>
      </c>
      <c r="G462" s="9">
        <v>1505113257.8989089</v>
      </c>
      <c r="H462" s="9">
        <v>2117959800.2680306</v>
      </c>
      <c r="I462" s="9">
        <v>2755427300.3658366</v>
      </c>
      <c r="J462" s="9">
        <v>3418504999.6819448</v>
      </c>
      <c r="K462" s="9">
        <v>4108221803.8382349</v>
      </c>
      <c r="L462" s="9">
        <v>4825647867.4838228</v>
      </c>
      <c r="M462" s="9">
        <v>5571896667.9858704</v>
      </c>
      <c r="N462" s="9">
        <v>6348125897.2799444</v>
      </c>
      <c r="O462" s="9">
        <v>7155540097.0960875</v>
      </c>
      <c r="P462" s="9">
        <v>7995392103.3875074</v>
      </c>
      <c r="Q462" s="9">
        <v>8868984975.9440365</v>
      </c>
    </row>
    <row r="463" spans="2:17" s="9" customFormat="1" outlineLevel="1" x14ac:dyDescent="0.25">
      <c r="B463" s="108" t="s">
        <v>1152</v>
      </c>
      <c r="C463" s="9" t="s">
        <v>11</v>
      </c>
      <c r="D463" s="9">
        <v>-187588065</v>
      </c>
      <c r="E463" s="9">
        <v>-232274851</v>
      </c>
      <c r="F463" s="9">
        <v>-104643142</v>
      </c>
      <c r="G463" s="9">
        <v>-372478409.97978175</v>
      </c>
      <c r="H463" s="9">
        <v>-762882986.43338788</v>
      </c>
      <c r="I463" s="9">
        <v>-1280781062.9065552</v>
      </c>
      <c r="J463" s="9">
        <v>-1931294679.2429442</v>
      </c>
      <c r="K463" s="9">
        <v>-2719751656.4105911</v>
      </c>
      <c r="L463" s="9">
        <v>-3445152354.3275743</v>
      </c>
      <c r="M463" s="9">
        <v>-4135939727.8711424</v>
      </c>
      <c r="N463" s="9">
        <v>-4854479447.2539635</v>
      </c>
      <c r="O463" s="9">
        <v>-5601886466.7367926</v>
      </c>
      <c r="P463" s="9">
        <v>-6379320526.6466475</v>
      </c>
      <c r="Q463" s="9">
        <v>-7187987948.3386898</v>
      </c>
    </row>
    <row r="464" spans="2:17" s="9" customFormat="1" outlineLevel="1" x14ac:dyDescent="0.25">
      <c r="B464" s="108" t="s">
        <v>1145</v>
      </c>
      <c r="C464" s="9" t="s">
        <v>11</v>
      </c>
      <c r="G464" s="9">
        <v>267835267.97978178</v>
      </c>
      <c r="H464" s="9">
        <v>390404576.45360613</v>
      </c>
      <c r="I464" s="9">
        <v>517898076.47316736</v>
      </c>
      <c r="J464" s="9">
        <v>650513616.33638906</v>
      </c>
      <c r="K464" s="9">
        <v>788456977.16764712</v>
      </c>
      <c r="L464" s="9">
        <v>725400697.91698289</v>
      </c>
      <c r="M464" s="9">
        <v>690787373.5435679</v>
      </c>
      <c r="N464" s="9">
        <v>718539719.38282168</v>
      </c>
      <c r="O464" s="9">
        <v>747407019.48282862</v>
      </c>
      <c r="P464" s="9">
        <v>777434059.90985453</v>
      </c>
      <c r="Q464" s="9">
        <v>808667421.69204283</v>
      </c>
    </row>
    <row r="465" spans="2:17" s="9" customFormat="1" x14ac:dyDescent="0.25"/>
    <row r="466" spans="2:17" s="16" customFormat="1" x14ac:dyDescent="0.25">
      <c r="B466" s="17" t="s">
        <v>1158</v>
      </c>
      <c r="C466" s="17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</row>
    <row r="467" spans="2:17" s="9" customFormat="1" outlineLevel="1" x14ac:dyDescent="0.25"/>
    <row r="468" spans="2:17" s="9" customFormat="1" outlineLevel="1" x14ac:dyDescent="0.25">
      <c r="B468" s="110" t="s">
        <v>608</v>
      </c>
    </row>
    <row r="469" spans="2:17" s="9" customFormat="1" outlineLevel="1" x14ac:dyDescent="0.25">
      <c r="B469" s="109" t="s">
        <v>1094</v>
      </c>
      <c r="C469" s="9" t="s">
        <v>11</v>
      </c>
      <c r="D469" s="9">
        <v>34011218</v>
      </c>
      <c r="E469" s="9">
        <v>80830697</v>
      </c>
      <c r="F469" s="9">
        <v>52988168</v>
      </c>
      <c r="G469" s="13">
        <v>75000000</v>
      </c>
      <c r="H469" s="9">
        <v>77625000</v>
      </c>
      <c r="I469" s="9">
        <v>80341875</v>
      </c>
      <c r="J469" s="9">
        <v>83153840.625</v>
      </c>
      <c r="K469" s="9">
        <v>86064225.046875</v>
      </c>
      <c r="L469" s="9">
        <v>89076472.923515618</v>
      </c>
      <c r="M469" s="9">
        <v>92194149.475838661</v>
      </c>
      <c r="N469" s="9">
        <v>95420944.707493007</v>
      </c>
      <c r="O469" s="9">
        <v>98760677.772255257</v>
      </c>
      <c r="P469" s="9">
        <v>102217301.49428418</v>
      </c>
      <c r="Q469" s="9">
        <v>105794907.04658411</v>
      </c>
    </row>
    <row r="470" spans="2:17" s="9" customFormat="1" outlineLevel="1" x14ac:dyDescent="0.25">
      <c r="B470" s="109" t="s">
        <v>608</v>
      </c>
      <c r="C470" s="9" t="s">
        <v>11</v>
      </c>
      <c r="D470" s="9">
        <v>1422436</v>
      </c>
      <c r="E470" s="9">
        <v>85187575</v>
      </c>
      <c r="F470" s="9">
        <v>208082086</v>
      </c>
      <c r="G470" s="13">
        <v>100000000</v>
      </c>
      <c r="H470" s="9">
        <v>103499999.99999999</v>
      </c>
      <c r="I470" s="9">
        <v>107122499.99999997</v>
      </c>
      <c r="J470" s="9">
        <v>110871787.49999996</v>
      </c>
      <c r="K470" s="9">
        <v>114752300.06249994</v>
      </c>
      <c r="L470" s="9">
        <v>118768630.56468743</v>
      </c>
      <c r="M470" s="9">
        <v>122925532.63445148</v>
      </c>
      <c r="N470" s="9">
        <v>127227926.27665727</v>
      </c>
      <c r="O470" s="9">
        <v>131680903.69634026</v>
      </c>
      <c r="P470" s="9">
        <v>136289735.32571217</v>
      </c>
      <c r="Q470" s="9">
        <v>141059876.06211209</v>
      </c>
    </row>
    <row r="471" spans="2:17" s="9" customFormat="1" x14ac:dyDescent="0.25">
      <c r="B471"/>
    </row>
    <row r="472" spans="2:17" s="16" customFormat="1" x14ac:dyDescent="0.25">
      <c r="B472" s="17" t="s">
        <v>1153</v>
      </c>
      <c r="C472" s="17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</row>
    <row r="473" spans="2:17" s="9" customFormat="1" outlineLevel="1" x14ac:dyDescent="0.25"/>
    <row r="474" spans="2:17" s="9" customFormat="1" outlineLevel="1" x14ac:dyDescent="0.25">
      <c r="B474" s="9" t="s">
        <v>1154</v>
      </c>
      <c r="C474" s="9" t="s">
        <v>11</v>
      </c>
    </row>
    <row r="475" spans="2:17" s="9" customFormat="1" outlineLevel="1" x14ac:dyDescent="0.25">
      <c r="B475" s="130" t="s">
        <v>1156</v>
      </c>
      <c r="C475" s="9" t="s">
        <v>11</v>
      </c>
      <c r="G475" s="9">
        <v>11000000000</v>
      </c>
      <c r="H475" s="9">
        <v>11000000000</v>
      </c>
      <c r="I475" s="9">
        <v>11000000000</v>
      </c>
      <c r="J475" s="9">
        <v>11000000000</v>
      </c>
      <c r="K475" s="9">
        <v>11000000000</v>
      </c>
      <c r="L475" s="9">
        <v>11000000000</v>
      </c>
      <c r="M475" s="9">
        <v>11000000000</v>
      </c>
      <c r="N475" s="9">
        <v>11000000000</v>
      </c>
      <c r="O475" s="9">
        <v>11000000000</v>
      </c>
      <c r="P475" s="9">
        <v>11000000000</v>
      </c>
      <c r="Q475" s="9">
        <v>11000000000</v>
      </c>
    </row>
    <row r="476" spans="2:17" s="6" customFormat="1" outlineLevel="1" x14ac:dyDescent="0.25">
      <c r="B476" s="10" t="s">
        <v>1155</v>
      </c>
      <c r="G476" s="7">
        <v>0.12</v>
      </c>
      <c r="H476" s="6">
        <v>0.12</v>
      </c>
      <c r="I476" s="6">
        <v>0.12</v>
      </c>
      <c r="J476" s="6">
        <v>0.12</v>
      </c>
      <c r="K476" s="6">
        <v>0.12</v>
      </c>
      <c r="L476" s="6">
        <v>0.12</v>
      </c>
      <c r="M476" s="6">
        <v>0.12</v>
      </c>
      <c r="N476" s="6">
        <v>0.12</v>
      </c>
      <c r="O476" s="6">
        <v>0.12</v>
      </c>
      <c r="P476" s="6">
        <v>0.12</v>
      </c>
      <c r="Q476" s="6">
        <v>0.12</v>
      </c>
    </row>
    <row r="477" spans="2:17" s="9" customFormat="1" outlineLevel="1" x14ac:dyDescent="0.25">
      <c r="B477" s="130" t="s">
        <v>1154</v>
      </c>
      <c r="C477" s="9" t="s">
        <v>11</v>
      </c>
      <c r="G477" s="9">
        <v>1320000000</v>
      </c>
      <c r="H477" s="9">
        <v>1320000000</v>
      </c>
      <c r="I477" s="9">
        <v>1320000000</v>
      </c>
      <c r="J477" s="9">
        <v>1320000000</v>
      </c>
      <c r="K477" s="9">
        <v>1320000000</v>
      </c>
      <c r="L477" s="9">
        <v>1320000000</v>
      </c>
      <c r="M477" s="9">
        <v>1320000000</v>
      </c>
      <c r="N477" s="9">
        <v>1320000000</v>
      </c>
      <c r="O477" s="9">
        <v>1320000000</v>
      </c>
      <c r="P477" s="9">
        <v>1320000000</v>
      </c>
      <c r="Q477" s="9">
        <v>1320000000</v>
      </c>
    </row>
    <row r="478" spans="2:17" s="9" customFormat="1" outlineLevel="1" x14ac:dyDescent="0.25"/>
    <row r="479" spans="2:17" s="9" customFormat="1" outlineLevel="1" x14ac:dyDescent="0.25">
      <c r="B479" s="9" t="s">
        <v>1157</v>
      </c>
      <c r="C479" s="9" t="s">
        <v>11</v>
      </c>
      <c r="G479" s="9">
        <v>3360000000</v>
      </c>
      <c r="H479" s="9">
        <v>2880000000</v>
      </c>
      <c r="I479" s="9">
        <v>2400000000</v>
      </c>
      <c r="J479" s="9">
        <v>1920000000</v>
      </c>
      <c r="K479" s="9">
        <v>1440000000</v>
      </c>
      <c r="L479" s="9">
        <v>960000000</v>
      </c>
      <c r="M479" s="9">
        <v>480000000</v>
      </c>
      <c r="N479" s="9">
        <v>120000000</v>
      </c>
      <c r="O479" s="9">
        <v>0</v>
      </c>
      <c r="P479" s="9">
        <v>0</v>
      </c>
      <c r="Q479" s="9">
        <v>0</v>
      </c>
    </row>
    <row r="480" spans="2:17" s="9" customFormat="1" outlineLevel="1" x14ac:dyDescent="0.25"/>
    <row r="481" spans="2:21" s="9" customFormat="1" outlineLevel="1" x14ac:dyDescent="0.25">
      <c r="B481" s="9" t="s">
        <v>1510</v>
      </c>
      <c r="C481" s="9" t="s">
        <v>11</v>
      </c>
      <c r="G481" s="9">
        <v>3360000000</v>
      </c>
      <c r="H481" s="9">
        <v>2880000000</v>
      </c>
      <c r="I481" s="9">
        <v>2400000000</v>
      </c>
      <c r="J481" s="9">
        <v>1920000000</v>
      </c>
      <c r="K481" s="9">
        <v>1440000000</v>
      </c>
      <c r="L481" s="9">
        <v>960000000</v>
      </c>
      <c r="M481" s="9">
        <v>480000000</v>
      </c>
      <c r="N481" s="9">
        <v>120000000</v>
      </c>
    </row>
    <row r="482" spans="2:21" s="9" customFormat="1" outlineLevel="1" x14ac:dyDescent="0.25">
      <c r="B482" s="9" t="s">
        <v>1403</v>
      </c>
      <c r="C482" s="9" t="s">
        <v>11</v>
      </c>
      <c r="G482" s="9">
        <v>30000000000</v>
      </c>
      <c r="H482" s="9">
        <v>26000000000</v>
      </c>
      <c r="I482" s="9">
        <v>22000000000</v>
      </c>
      <c r="J482" s="9">
        <v>18000000000</v>
      </c>
      <c r="K482" s="9">
        <v>14000000000</v>
      </c>
      <c r="L482" s="9">
        <v>10000000000</v>
      </c>
      <c r="M482" s="9">
        <v>6000000000</v>
      </c>
      <c r="N482" s="9">
        <v>2000000000</v>
      </c>
    </row>
    <row r="483" spans="2:21" s="9" customFormat="1" outlineLevel="1" x14ac:dyDescent="0.25">
      <c r="B483" s="9" t="s">
        <v>1511</v>
      </c>
      <c r="C483" s="9" t="s">
        <v>11</v>
      </c>
      <c r="G483" s="9">
        <v>4000000000</v>
      </c>
      <c r="H483" s="9">
        <v>4000000000</v>
      </c>
      <c r="I483" s="9">
        <v>4000000000</v>
      </c>
      <c r="J483" s="9">
        <v>4000000000</v>
      </c>
      <c r="K483" s="9">
        <v>4000000000</v>
      </c>
      <c r="L483" s="9">
        <v>4000000000</v>
      </c>
      <c r="M483" s="9">
        <v>4000000000</v>
      </c>
      <c r="N483" s="9">
        <v>2000000000</v>
      </c>
    </row>
    <row r="484" spans="2:21" s="9" customFormat="1" outlineLevel="1" x14ac:dyDescent="0.25">
      <c r="B484" s="9" t="s">
        <v>1404</v>
      </c>
      <c r="C484" s="9" t="s">
        <v>11</v>
      </c>
      <c r="G484" s="9">
        <v>26000000000</v>
      </c>
      <c r="H484" s="9">
        <v>22000000000</v>
      </c>
      <c r="I484" s="9">
        <v>18000000000</v>
      </c>
      <c r="J484" s="9">
        <v>14000000000</v>
      </c>
      <c r="K484" s="9">
        <v>10000000000</v>
      </c>
      <c r="L484" s="9">
        <v>6000000000</v>
      </c>
      <c r="M484" s="9">
        <v>2000000000</v>
      </c>
      <c r="N484" s="9">
        <v>0</v>
      </c>
    </row>
    <row r="485" spans="2:21" s="9" customFormat="1" outlineLevel="1" x14ac:dyDescent="0.25">
      <c r="B485" s="9" t="s">
        <v>1512</v>
      </c>
      <c r="C485" s="9" t="s">
        <v>1473</v>
      </c>
      <c r="D485" s="7">
        <v>0.12</v>
      </c>
      <c r="E485" s="7"/>
      <c r="F485" s="7"/>
      <c r="G485" s="8">
        <v>0.12</v>
      </c>
      <c r="H485" s="8">
        <v>0.12</v>
      </c>
      <c r="I485" s="8">
        <v>0.12</v>
      </c>
      <c r="J485" s="8">
        <v>0.12</v>
      </c>
      <c r="K485" s="8">
        <v>0.12</v>
      </c>
      <c r="L485" s="8">
        <v>0.12</v>
      </c>
      <c r="M485" s="8">
        <v>0.12</v>
      </c>
      <c r="N485" s="8">
        <v>0.12</v>
      </c>
      <c r="O485" s="8">
        <v>0.12</v>
      </c>
      <c r="P485" s="8">
        <v>0.12</v>
      </c>
    </row>
    <row r="486" spans="2:21" s="9" customFormat="1" x14ac:dyDescent="0.25"/>
    <row r="487" spans="2:21" s="16" customFormat="1" x14ac:dyDescent="0.25">
      <c r="B487" s="17" t="s">
        <v>1402</v>
      </c>
      <c r="C487" s="17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</row>
    <row r="488" spans="2:21" s="9" customFormat="1" outlineLevel="1" x14ac:dyDescent="0.25"/>
    <row r="489" spans="2:21" s="9" customFormat="1" outlineLevel="1" x14ac:dyDescent="0.25">
      <c r="B489" s="9" t="s">
        <v>1403</v>
      </c>
      <c r="H489" s="103">
        <v>0</v>
      </c>
      <c r="I489" s="9">
        <v>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</row>
    <row r="490" spans="2:21" s="9" customFormat="1" outlineLevel="1" x14ac:dyDescent="0.25">
      <c r="B490" s="9" t="s">
        <v>1404</v>
      </c>
      <c r="H490" s="9">
        <v>0</v>
      </c>
      <c r="I490" s="9">
        <v>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  <c r="Q490" s="9">
        <v>0</v>
      </c>
    </row>
    <row r="491" spans="2:21" s="9" customFormat="1" outlineLevel="1" x14ac:dyDescent="0.25">
      <c r="B491" s="9" t="s">
        <v>1409</v>
      </c>
      <c r="H491" s="5">
        <v>11</v>
      </c>
    </row>
    <row r="492" spans="2:21" s="9" customFormat="1" outlineLevel="1" x14ac:dyDescent="0.25">
      <c r="B492" s="9" t="s">
        <v>1405</v>
      </c>
      <c r="H492" s="7">
        <v>0.05</v>
      </c>
    </row>
    <row r="493" spans="2:21" s="9" customFormat="1" outlineLevel="1" x14ac:dyDescent="0.25"/>
    <row r="494" spans="2:21" s="9" customFormat="1" outlineLevel="1" x14ac:dyDescent="0.25">
      <c r="B494" s="9" t="s">
        <v>1406</v>
      </c>
      <c r="H494" s="5">
        <v>1</v>
      </c>
      <c r="I494" s="1">
        <v>2</v>
      </c>
      <c r="J494" s="1">
        <v>3</v>
      </c>
      <c r="K494" s="1">
        <v>4</v>
      </c>
      <c r="L494" s="1">
        <v>5</v>
      </c>
      <c r="M494" s="1">
        <v>6</v>
      </c>
      <c r="N494" s="1">
        <v>7</v>
      </c>
      <c r="O494" s="1">
        <v>8</v>
      </c>
      <c r="P494" s="1">
        <v>9</v>
      </c>
      <c r="Q494" s="1">
        <v>10</v>
      </c>
      <c r="R494" s="1"/>
      <c r="S494" s="1"/>
      <c r="T494" s="1"/>
      <c r="U494" s="1"/>
    </row>
    <row r="495" spans="2:21" s="9" customFormat="1" outlineLevel="1" x14ac:dyDescent="0.25">
      <c r="B495" s="9" t="s">
        <v>1407</v>
      </c>
      <c r="H495" s="9">
        <v>0</v>
      </c>
      <c r="I495" s="9">
        <v>0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</row>
    <row r="496" spans="2:21" s="9" customFormat="1" outlineLevel="1" x14ac:dyDescent="0.25">
      <c r="B496" s="9" t="s">
        <v>1408</v>
      </c>
      <c r="H496" s="9">
        <v>0</v>
      </c>
      <c r="I496" s="9">
        <v>0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</row>
    <row r="497" spans="2:17" s="9" customFormat="1" x14ac:dyDescent="0.25"/>
    <row r="498" spans="2:17" s="16" customFormat="1" x14ac:dyDescent="0.25">
      <c r="B498" s="17" t="s">
        <v>1400</v>
      </c>
      <c r="C498" s="17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</row>
    <row r="499" spans="2:17" s="9" customFormat="1" outlineLevel="1" x14ac:dyDescent="0.25"/>
    <row r="500" spans="2:17" s="9" customFormat="1" outlineLevel="1" x14ac:dyDescent="0.25">
      <c r="B500" s="9" t="s">
        <v>1358</v>
      </c>
      <c r="C500" s="9" t="s">
        <v>11</v>
      </c>
      <c r="G500" s="280">
        <v>340215438473</v>
      </c>
    </row>
    <row r="501" spans="2:17" s="9" customFormat="1" outlineLevel="1" x14ac:dyDescent="0.25">
      <c r="B501" s="9" t="s">
        <v>1169</v>
      </c>
      <c r="C501" s="9" t="s">
        <v>12</v>
      </c>
      <c r="G501" s="278">
        <v>0.68743437581113986</v>
      </c>
    </row>
    <row r="502" spans="2:17" s="9" customFormat="1" outlineLevel="1" x14ac:dyDescent="0.25">
      <c r="B502" s="9" t="s">
        <v>1169</v>
      </c>
      <c r="C502" s="9" t="s">
        <v>11</v>
      </c>
      <c r="G502" s="9">
        <v>233875787588</v>
      </c>
    </row>
    <row r="503" spans="2:17" s="9" customFormat="1" x14ac:dyDescent="0.25"/>
    <row r="504" spans="2:17" s="16" customFormat="1" x14ac:dyDescent="0.25">
      <c r="B504" s="17" t="s">
        <v>1401</v>
      </c>
      <c r="C504" s="17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</row>
    <row r="505" spans="2:17" s="9" customFormat="1" x14ac:dyDescent="0.25"/>
    <row r="506" spans="2:17" s="9" customFormat="1" x14ac:dyDescent="0.25">
      <c r="B506" s="9" t="s">
        <v>1331</v>
      </c>
      <c r="C506" s="9" t="s">
        <v>11</v>
      </c>
      <c r="G506" s="280">
        <v>450000000000</v>
      </c>
    </row>
    <row r="507" spans="2:17" s="9" customFormat="1" x14ac:dyDescent="0.25"/>
    <row r="508" spans="2:17" s="9" customFormat="1" x14ac:dyDescent="0.25">
      <c r="B508" s="9" t="s">
        <v>1450</v>
      </c>
      <c r="C508" s="9" t="s">
        <v>1336</v>
      </c>
      <c r="F508" s="9">
        <v>45351711688.084549</v>
      </c>
      <c r="G508" s="5">
        <v>29998.757999999998</v>
      </c>
    </row>
    <row r="509" spans="2:17" s="9" customFormat="1" x14ac:dyDescent="0.25">
      <c r="B509" s="9" t="s">
        <v>1451</v>
      </c>
      <c r="C509" s="9" t="s">
        <v>1336</v>
      </c>
      <c r="F509" s="9">
        <v>45351711688.084549</v>
      </c>
      <c r="G509" s="1">
        <v>29998.757999999998</v>
      </c>
    </row>
    <row r="510" spans="2:17" s="9" customFormat="1" x14ac:dyDescent="0.25">
      <c r="B510" s="9" t="s">
        <v>1452</v>
      </c>
      <c r="C510" s="9" t="s">
        <v>1336</v>
      </c>
      <c r="F510" s="9">
        <v>313105836977.29144</v>
      </c>
      <c r="G510" s="1">
        <v>21854.484</v>
      </c>
    </row>
    <row r="511" spans="2:17" s="9" customFormat="1" x14ac:dyDescent="0.25">
      <c r="B511" s="9" t="s">
        <v>1358</v>
      </c>
      <c r="C511" s="9" t="s">
        <v>1336</v>
      </c>
      <c r="G511" s="1">
        <v>154701.61748614119</v>
      </c>
    </row>
    <row r="512" spans="2:17" s="9" customFormat="1" x14ac:dyDescent="0.25">
      <c r="B512" s="9" t="s">
        <v>1340</v>
      </c>
      <c r="C512" s="9" t="s">
        <v>1336</v>
      </c>
      <c r="G512" s="1">
        <v>297661.11570044147</v>
      </c>
    </row>
    <row r="513" spans="2:7" s="12" customFormat="1" x14ac:dyDescent="0.25">
      <c r="B513" s="12" t="s">
        <v>1341</v>
      </c>
      <c r="C513" s="12" t="s">
        <v>1336</v>
      </c>
      <c r="F513" s="12">
        <v>403809260353.46051</v>
      </c>
      <c r="G513" s="2">
        <v>534214.73318658269</v>
      </c>
    </row>
    <row r="514" spans="2:7" s="9" customFormat="1" x14ac:dyDescent="0.25">
      <c r="F514" s="9">
        <v>1511786.3108894227</v>
      </c>
    </row>
    <row r="515" spans="2:7" s="9" customFormat="1" x14ac:dyDescent="0.25">
      <c r="B515" s="9" t="s">
        <v>1450</v>
      </c>
      <c r="C515" s="9" t="s">
        <v>1342</v>
      </c>
      <c r="G515" s="6">
        <v>5.6154868326183868E-2</v>
      </c>
    </row>
    <row r="516" spans="2:7" s="9" customFormat="1" x14ac:dyDescent="0.25">
      <c r="B516" s="9" t="s">
        <v>1451</v>
      </c>
      <c r="C516" s="9" t="s">
        <v>1342</v>
      </c>
      <c r="G516" s="6">
        <v>5.6154868326183868E-2</v>
      </c>
    </row>
    <row r="517" spans="2:7" s="9" customFormat="1" x14ac:dyDescent="0.25">
      <c r="B517" s="9" t="s">
        <v>1452</v>
      </c>
      <c r="C517" s="9" t="s">
        <v>1342</v>
      </c>
      <c r="G517" s="6">
        <v>4.0909549367233546E-2</v>
      </c>
    </row>
    <row r="518" spans="2:7" s="9" customFormat="1" x14ac:dyDescent="0.25">
      <c r="B518" s="9" t="s">
        <v>1358</v>
      </c>
      <c r="C518" s="9" t="s">
        <v>1342</v>
      </c>
      <c r="G518" s="6">
        <v>0.28958695422596903</v>
      </c>
    </row>
    <row r="519" spans="2:7" s="9" customFormat="1" x14ac:dyDescent="0.25">
      <c r="B519" s="9" t="s">
        <v>1340</v>
      </c>
      <c r="C519" s="9" t="s">
        <v>1342</v>
      </c>
      <c r="G519" s="6">
        <v>0.55719375975442964</v>
      </c>
    </row>
    <row r="520" spans="2:7" s="12" customFormat="1" x14ac:dyDescent="0.25">
      <c r="B520" s="12" t="s">
        <v>1341</v>
      </c>
      <c r="C520" s="12" t="s">
        <v>1342</v>
      </c>
      <c r="G520" s="102">
        <v>1</v>
      </c>
    </row>
    <row r="521" spans="2:7" s="9" customFormat="1" x14ac:dyDescent="0.25"/>
    <row r="522" spans="2:7" s="9" customFormat="1" x14ac:dyDescent="0.25">
      <c r="B522" s="9" t="s">
        <v>1453</v>
      </c>
      <c r="C522" s="9" t="s">
        <v>1342</v>
      </c>
      <c r="G522" s="6">
        <v>0.40189669087833679</v>
      </c>
    </row>
    <row r="523" spans="2:7" s="9" customFormat="1" x14ac:dyDescent="0.25">
      <c r="B523" s="9" t="s">
        <v>1454</v>
      </c>
      <c r="C523" s="9" t="s">
        <v>1342</v>
      </c>
      <c r="G523" s="6">
        <v>0.59810330912166321</v>
      </c>
    </row>
    <row r="524" spans="2:7" s="9" customFormat="1" x14ac:dyDescent="0.25">
      <c r="B524" s="12" t="s">
        <v>1341</v>
      </c>
      <c r="C524" s="12" t="s">
        <v>1342</v>
      </c>
      <c r="D524" s="12"/>
      <c r="E524" s="12"/>
      <c r="F524" s="12"/>
      <c r="G524" s="102">
        <v>1</v>
      </c>
    </row>
    <row r="525" spans="2:7" s="9" customFormat="1" x14ac:dyDescent="0.25">
      <c r="B525" s="12"/>
      <c r="C525" s="12"/>
      <c r="D525" s="12"/>
      <c r="E525" s="12"/>
      <c r="F525" s="12"/>
      <c r="G525" s="102"/>
    </row>
    <row r="526" spans="2:7" s="9" customFormat="1" x14ac:dyDescent="0.25">
      <c r="B526" s="9" t="s">
        <v>1453</v>
      </c>
      <c r="C526" s="9" t="s">
        <v>1342</v>
      </c>
      <c r="G526" s="6">
        <v>0.40189669087833679</v>
      </c>
    </row>
    <row r="527" spans="2:7" s="9" customFormat="1" x14ac:dyDescent="0.25">
      <c r="B527" s="9" t="s">
        <v>1592</v>
      </c>
      <c r="C527" s="9" t="s">
        <v>1342</v>
      </c>
      <c r="G527" s="6">
        <v>0.10810330912166322</v>
      </c>
    </row>
    <row r="528" spans="2:7" s="9" customFormat="1" x14ac:dyDescent="0.25">
      <c r="B528" s="9" t="s">
        <v>1454</v>
      </c>
      <c r="C528" s="9" t="s">
        <v>1342</v>
      </c>
      <c r="G528" s="6">
        <v>0.49</v>
      </c>
    </row>
    <row r="529" spans="2:17" s="9" customFormat="1" x14ac:dyDescent="0.25">
      <c r="B529" s="12" t="s">
        <v>1341</v>
      </c>
      <c r="C529" s="12" t="s">
        <v>1342</v>
      </c>
      <c r="D529" s="12"/>
      <c r="E529" s="12"/>
      <c r="F529" s="12"/>
      <c r="G529" s="102">
        <v>0.89189669087833678</v>
      </c>
    </row>
    <row r="530" spans="2:17" s="9" customFormat="1" x14ac:dyDescent="0.25">
      <c r="B530" s="12"/>
      <c r="C530" s="12"/>
      <c r="D530" s="12"/>
      <c r="E530" s="12"/>
      <c r="F530" s="12"/>
      <c r="G530" s="102"/>
    </row>
    <row r="531" spans="2:17" s="9" customFormat="1" x14ac:dyDescent="0.25"/>
    <row r="532" spans="2:17" s="16" customFormat="1" x14ac:dyDescent="0.25">
      <c r="B532" s="17" t="s">
        <v>1418</v>
      </c>
      <c r="C532" s="17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</row>
    <row r="533" spans="2:17" s="9" customFormat="1" x14ac:dyDescent="0.25"/>
    <row r="534" spans="2:17" s="116" customFormat="1" x14ac:dyDescent="0.25">
      <c r="B534" s="116" t="s">
        <v>1428</v>
      </c>
      <c r="D534" s="116">
        <v>1.891872652832655</v>
      </c>
      <c r="E534" s="116">
        <v>2.2381005348022716</v>
      </c>
      <c r="F534" s="116">
        <v>3.1568909931683922</v>
      </c>
      <c r="G534" s="116">
        <v>1.0744302183231389</v>
      </c>
      <c r="H534" s="116">
        <v>1.1038729881526881</v>
      </c>
      <c r="I534" s="116">
        <v>1.0855117476364775</v>
      </c>
      <c r="J534" s="116">
        <v>1.0349430699573077</v>
      </c>
      <c r="K534" s="116">
        <v>0.9624803889282576</v>
      </c>
      <c r="L534" s="116">
        <v>0.90105503176526547</v>
      </c>
      <c r="M534" s="116">
        <v>0.84887911502063107</v>
      </c>
      <c r="N534" s="116">
        <v>0.80407832921226718</v>
      </c>
      <c r="O534" s="116">
        <v>0.76526891035757494</v>
      </c>
      <c r="P534" s="116">
        <v>0.73139314269534705</v>
      </c>
      <c r="Q534" s="116">
        <v>0.70159119668089931</v>
      </c>
    </row>
    <row r="535" spans="2:17" s="116" customFormat="1" x14ac:dyDescent="0.25">
      <c r="B535" s="116" t="s">
        <v>1439</v>
      </c>
      <c r="D535" s="116">
        <v>1</v>
      </c>
      <c r="E535" s="116">
        <v>1</v>
      </c>
      <c r="F535" s="116">
        <v>1</v>
      </c>
      <c r="G535" s="116">
        <v>1</v>
      </c>
      <c r="H535" s="116">
        <v>1</v>
      </c>
      <c r="I535" s="116">
        <v>1</v>
      </c>
      <c r="J535" s="116">
        <v>1</v>
      </c>
      <c r="K535" s="116">
        <v>1</v>
      </c>
      <c r="L535" s="116">
        <v>1</v>
      </c>
      <c r="M535" s="116">
        <v>1</v>
      </c>
      <c r="N535" s="116">
        <v>1</v>
      </c>
      <c r="O535" s="116">
        <v>1</v>
      </c>
      <c r="P535" s="116">
        <v>1</v>
      </c>
      <c r="Q535" s="116">
        <v>1</v>
      </c>
    </row>
    <row r="536" spans="2:17" s="9" customFormat="1" x14ac:dyDescent="0.25">
      <c r="B536" s="130" t="s">
        <v>1430</v>
      </c>
      <c r="D536" s="9">
        <v>359546196656</v>
      </c>
      <c r="E536" s="9">
        <v>522189162208</v>
      </c>
      <c r="F536" s="9">
        <v>983909878171.19678</v>
      </c>
      <c r="G536" s="9">
        <v>778461990799.25549</v>
      </c>
      <c r="H536" s="9">
        <v>786145965605.79443</v>
      </c>
      <c r="I536" s="9">
        <v>801498154429.43298</v>
      </c>
      <c r="J536" s="9">
        <v>817420012444.30127</v>
      </c>
      <c r="K536" s="9">
        <v>832384725700.60278</v>
      </c>
      <c r="L536" s="9">
        <v>866335560971.84497</v>
      </c>
      <c r="M536" s="9">
        <v>901649920915.58667</v>
      </c>
      <c r="N536" s="9">
        <v>938381933914.72388</v>
      </c>
      <c r="O536" s="9">
        <v>976588943801.93274</v>
      </c>
      <c r="P536" s="9">
        <v>1016330066917.3085</v>
      </c>
      <c r="Q536" s="9">
        <v>1057666781205.6787</v>
      </c>
    </row>
    <row r="537" spans="2:17" s="9" customFormat="1" x14ac:dyDescent="0.25">
      <c r="B537" s="130" t="s">
        <v>1431</v>
      </c>
      <c r="D537" s="9">
        <v>190047779441</v>
      </c>
      <c r="E537" s="9">
        <v>233318009664</v>
      </c>
      <c r="F537" s="9">
        <v>311670526572</v>
      </c>
      <c r="G537" s="9">
        <v>724534713863.68823</v>
      </c>
      <c r="H537" s="9">
        <v>712170670034.59863</v>
      </c>
      <c r="I537" s="9">
        <v>738359724042.19739</v>
      </c>
      <c r="J537" s="9">
        <v>789821233817.25769</v>
      </c>
      <c r="K537" s="9">
        <v>864832920520.57385</v>
      </c>
      <c r="L537" s="9">
        <v>961467979679.99658</v>
      </c>
      <c r="M537" s="9">
        <v>1062165277671.6896</v>
      </c>
      <c r="N537" s="9">
        <v>1167028011853.0618</v>
      </c>
      <c r="O537" s="9">
        <v>1276138270592.5132</v>
      </c>
      <c r="P537" s="9">
        <v>1389581071504.0413</v>
      </c>
      <c r="Q537" s="9">
        <v>1507525730381.6074</v>
      </c>
    </row>
    <row r="538" spans="2:17" s="9" customFormat="1" x14ac:dyDescent="0.25"/>
    <row r="539" spans="2:17" s="9" customFormat="1" x14ac:dyDescent="0.25">
      <c r="B539" s="9" t="s">
        <v>1429</v>
      </c>
      <c r="D539" s="116">
        <v>0.36800224858284997</v>
      </c>
      <c r="E539" s="116">
        <v>0.33865962969097163</v>
      </c>
      <c r="F539" s="116">
        <v>0.27331878553319477</v>
      </c>
      <c r="G539" s="116">
        <v>0.8829294457979473</v>
      </c>
      <c r="H539" s="116">
        <v>0.85669890820890116</v>
      </c>
      <c r="I539" s="116">
        <v>0.87177428151071468</v>
      </c>
      <c r="J539" s="116">
        <v>0.91707110506906164</v>
      </c>
      <c r="K539" s="116">
        <v>0.99048920651690653</v>
      </c>
      <c r="L539" s="116">
        <v>1.0628460826512542</v>
      </c>
      <c r="M539" s="116">
        <v>1.1323876413466474</v>
      </c>
      <c r="N539" s="116">
        <v>1.1992341151916706</v>
      </c>
      <c r="O539" s="116">
        <v>1.2634065695607866</v>
      </c>
      <c r="P539" s="116">
        <v>1.3249320357602237</v>
      </c>
      <c r="Q539" s="116">
        <v>1.3839199341339852</v>
      </c>
    </row>
    <row r="540" spans="2:17" s="9" customFormat="1" x14ac:dyDescent="0.25">
      <c r="B540" s="9" t="s">
        <v>1439</v>
      </c>
      <c r="D540" s="116">
        <v>1</v>
      </c>
      <c r="E540" s="116">
        <v>1</v>
      </c>
      <c r="F540" s="116">
        <v>1</v>
      </c>
      <c r="G540" s="116">
        <v>1</v>
      </c>
      <c r="H540" s="116">
        <v>1</v>
      </c>
      <c r="I540" s="116">
        <v>1</v>
      </c>
      <c r="J540" s="116">
        <v>1</v>
      </c>
      <c r="K540" s="116">
        <v>1</v>
      </c>
      <c r="L540" s="116">
        <v>1</v>
      </c>
      <c r="M540" s="116">
        <v>1</v>
      </c>
      <c r="N540" s="116">
        <v>1</v>
      </c>
      <c r="O540" s="116">
        <v>1</v>
      </c>
      <c r="P540" s="116">
        <v>1</v>
      </c>
      <c r="Q540" s="116">
        <v>1</v>
      </c>
    </row>
    <row r="541" spans="2:17" s="9" customFormat="1" x14ac:dyDescent="0.25">
      <c r="B541" s="130" t="s">
        <v>1433</v>
      </c>
      <c r="D541" s="9">
        <v>123634005604</v>
      </c>
      <c r="E541" s="9">
        <v>176844388302</v>
      </c>
      <c r="F541" s="9">
        <v>265914546335</v>
      </c>
      <c r="G541" s="9">
        <v>677614790207.37598</v>
      </c>
      <c r="H541" s="9">
        <v>664066702437.01843</v>
      </c>
      <c r="I541" s="9">
        <v>689135960613.26477</v>
      </c>
      <c r="J541" s="9">
        <v>739544491962.10181</v>
      </c>
      <c r="K541" s="9">
        <v>813572705204.297</v>
      </c>
      <c r="L541" s="9">
        <v>909090050331.23828</v>
      </c>
      <c r="M541" s="9">
        <v>1008560963211.1792</v>
      </c>
      <c r="N541" s="9">
        <v>1112148052962.9641</v>
      </c>
      <c r="O541" s="9">
        <v>1219931415094.623</v>
      </c>
      <c r="P541" s="9">
        <v>1331994012171.7114</v>
      </c>
      <c r="Q541" s="9">
        <v>1448503022906.3931</v>
      </c>
    </row>
    <row r="542" spans="2:17" s="9" customFormat="1" x14ac:dyDescent="0.25">
      <c r="B542" s="130" t="s">
        <v>1432</v>
      </c>
      <c r="D542" s="9">
        <v>335959918941</v>
      </c>
      <c r="E542" s="9">
        <v>522189162208</v>
      </c>
      <c r="F542" s="9">
        <v>972909878171.19678</v>
      </c>
      <c r="G542" s="9">
        <v>767461990799.25549</v>
      </c>
      <c r="H542" s="9">
        <v>775145965605.79431</v>
      </c>
      <c r="I542" s="9">
        <v>790498154429.43286</v>
      </c>
      <c r="J542" s="9">
        <v>806420012444.30127</v>
      </c>
      <c r="K542" s="9">
        <v>821384725700.60278</v>
      </c>
      <c r="L542" s="9">
        <v>855335560971.84485</v>
      </c>
      <c r="M542" s="9">
        <v>890649920915.58667</v>
      </c>
      <c r="N542" s="9">
        <v>927381933914.72388</v>
      </c>
      <c r="O542" s="9">
        <v>965588943801.93274</v>
      </c>
      <c r="P542" s="9">
        <v>1005330066917.3085</v>
      </c>
      <c r="Q542" s="9">
        <v>1046666781205.6787</v>
      </c>
    </row>
    <row r="543" spans="2:17" s="9" customFormat="1" x14ac:dyDescent="0.25"/>
    <row r="544" spans="2:17" s="9" customFormat="1" x14ac:dyDescent="0.25">
      <c r="B544" s="9" t="s">
        <v>1436</v>
      </c>
      <c r="D544" s="116">
        <v>0.34758785898503547</v>
      </c>
      <c r="E544" s="116">
        <v>0.30611050124539624</v>
      </c>
      <c r="F544" s="116">
        <v>0.23538748645576335</v>
      </c>
      <c r="G544" s="116">
        <v>0.29810708790087326</v>
      </c>
      <c r="H544" s="116">
        <v>0.3073778461187005</v>
      </c>
      <c r="I544" s="116">
        <v>0.27962199238996088</v>
      </c>
      <c r="J544" s="116">
        <v>0.2563794734576253</v>
      </c>
      <c r="K544" s="116">
        <v>0.2324611412268148</v>
      </c>
      <c r="L544" s="116">
        <v>0.20278030226392169</v>
      </c>
      <c r="M544" s="116">
        <v>0.20272063646641966</v>
      </c>
      <c r="N544" s="116">
        <v>0.20266340087874871</v>
      </c>
      <c r="O544" s="116">
        <v>0.20260849112964938</v>
      </c>
      <c r="P544" s="116">
        <v>0.20255580849528546</v>
      </c>
      <c r="Q544" s="116">
        <v>0.20250525876631964</v>
      </c>
    </row>
    <row r="545" spans="2:17" s="9" customFormat="1" x14ac:dyDescent="0.25">
      <c r="B545" s="9" t="s">
        <v>1439</v>
      </c>
      <c r="D545" s="116">
        <v>1</v>
      </c>
      <c r="E545" s="116">
        <v>1</v>
      </c>
      <c r="F545" s="116">
        <v>1</v>
      </c>
      <c r="G545" s="116">
        <v>1</v>
      </c>
      <c r="H545" s="116">
        <v>1</v>
      </c>
      <c r="I545" s="116">
        <v>1</v>
      </c>
      <c r="J545" s="116">
        <v>1</v>
      </c>
      <c r="K545" s="116">
        <v>1</v>
      </c>
      <c r="L545" s="116">
        <v>1</v>
      </c>
      <c r="M545" s="116">
        <v>1</v>
      </c>
      <c r="N545" s="116">
        <v>1</v>
      </c>
      <c r="O545" s="116">
        <v>1</v>
      </c>
      <c r="P545" s="116">
        <v>1</v>
      </c>
      <c r="Q545" s="116">
        <v>1</v>
      </c>
    </row>
    <row r="546" spans="2:17" s="9" customFormat="1" x14ac:dyDescent="0.25">
      <c r="B546" s="130" t="s">
        <v>1437</v>
      </c>
      <c r="D546" s="9">
        <v>112804280817</v>
      </c>
      <c r="E546" s="9">
        <v>156232780967</v>
      </c>
      <c r="F546" s="9">
        <v>226327325388</v>
      </c>
      <c r="G546" s="9">
        <v>225495354240.90894</v>
      </c>
      <c r="H546" s="9">
        <v>234700432979.32507</v>
      </c>
      <c r="I546" s="9">
        <v>217714104036.40482</v>
      </c>
      <c r="J546" s="9">
        <v>203583003094.28387</v>
      </c>
      <c r="K546" s="9">
        <v>187959223212.52502</v>
      </c>
      <c r="L546" s="9">
        <v>170745612527.41373</v>
      </c>
      <c r="M546" s="9">
        <v>177751138846.69208</v>
      </c>
      <c r="N546" s="9">
        <v>185038048622.53192</v>
      </c>
      <c r="O546" s="9">
        <v>192617728957.75702</v>
      </c>
      <c r="P546" s="9">
        <v>200501918031.60907</v>
      </c>
      <c r="Q546" s="9">
        <v>208702823026.60068</v>
      </c>
    </row>
    <row r="547" spans="2:17" s="9" customFormat="1" x14ac:dyDescent="0.25">
      <c r="B547" s="130" t="s">
        <v>1438</v>
      </c>
      <c r="D547" s="9">
        <v>324534582843</v>
      </c>
      <c r="E547" s="9">
        <v>510380337595</v>
      </c>
      <c r="F547" s="9">
        <v>961509589128.19678</v>
      </c>
      <c r="G547" s="9">
        <v>756423994574.36182</v>
      </c>
      <c r="H547" s="9">
        <v>763556762281.07373</v>
      </c>
      <c r="I547" s="9">
        <v>778601504751.38843</v>
      </c>
      <c r="J547" s="9">
        <v>794069042847.66113</v>
      </c>
      <c r="K547" s="9">
        <v>808561905101.94226</v>
      </c>
      <c r="L547" s="9">
        <v>842022674890.7085</v>
      </c>
      <c r="M547" s="9">
        <v>876828042497.47046</v>
      </c>
      <c r="N547" s="9">
        <v>913031399947.92725</v>
      </c>
      <c r="O547" s="9">
        <v>950689321478.14453</v>
      </c>
      <c r="P547" s="9">
        <v>989860125567.69421</v>
      </c>
      <c r="Q547" s="9">
        <v>1030604460832.4602</v>
      </c>
    </row>
    <row r="548" spans="2:17" s="9" customFormat="1" x14ac:dyDescent="0.25"/>
    <row r="549" spans="2:17" s="101" customFormat="1" x14ac:dyDescent="0.25">
      <c r="B549" s="101" t="s">
        <v>17</v>
      </c>
      <c r="D549" s="101">
        <v>-9.1841267310630789E-2</v>
      </c>
      <c r="E549" s="101">
        <v>-8.8427296541287198E-2</v>
      </c>
      <c r="F549" s="101">
        <v>-0.27346708709570744</v>
      </c>
      <c r="G549" s="101">
        <v>-4.4512115293441637E-2</v>
      </c>
      <c r="H549" s="101">
        <v>-1.3085180220240789E-2</v>
      </c>
      <c r="I549" s="101">
        <v>6.7999483470436084E-3</v>
      </c>
      <c r="J549" s="101">
        <v>2.1439207982320827E-2</v>
      </c>
      <c r="K549" s="101">
        <v>3.4824132504915936E-2</v>
      </c>
      <c r="L549" s="101">
        <v>3.494951023644257E-2</v>
      </c>
      <c r="M549" s="101">
        <v>3.5046187279075963E-2</v>
      </c>
      <c r="N549" s="101">
        <v>3.5108557426622548E-2</v>
      </c>
      <c r="O549" s="101">
        <v>3.5126084663057992E-2</v>
      </c>
      <c r="P549" s="101">
        <v>3.5102221459993012E-2</v>
      </c>
      <c r="Q549" s="101">
        <v>3.5077183890022567E-2</v>
      </c>
    </row>
    <row r="550" spans="2:17" s="9" customFormat="1" x14ac:dyDescent="0.25">
      <c r="B550" s="9" t="s">
        <v>1439</v>
      </c>
      <c r="D550" s="116">
        <v>1</v>
      </c>
      <c r="E550" s="116">
        <v>1</v>
      </c>
      <c r="F550" s="116">
        <v>1</v>
      </c>
      <c r="G550" s="116">
        <v>1</v>
      </c>
      <c r="H550" s="116">
        <v>1</v>
      </c>
      <c r="I550" s="116">
        <v>1</v>
      </c>
      <c r="J550" s="116">
        <v>1</v>
      </c>
      <c r="K550" s="116">
        <v>1</v>
      </c>
      <c r="L550" s="116">
        <v>1</v>
      </c>
      <c r="M550" s="116">
        <v>1</v>
      </c>
      <c r="N550" s="116">
        <v>1</v>
      </c>
      <c r="O550" s="116">
        <v>1</v>
      </c>
      <c r="P550" s="116">
        <v>1</v>
      </c>
      <c r="Q550" s="116">
        <v>1</v>
      </c>
    </row>
    <row r="551" spans="2:17" s="9" customFormat="1" x14ac:dyDescent="0.25">
      <c r="B551" s="130" t="s">
        <v>1434</v>
      </c>
      <c r="D551" s="9">
        <v>-109330184626</v>
      </c>
      <c r="E551" s="9">
        <v>-119372735329</v>
      </c>
      <c r="F551" s="9">
        <v>-395000106136</v>
      </c>
      <c r="G551" s="9">
        <v>-65563712924.370468</v>
      </c>
      <c r="H551" s="9">
        <v>-20048018635.628471</v>
      </c>
      <c r="I551" s="9">
        <v>10836865183.960243</v>
      </c>
      <c r="J551" s="9">
        <v>35539651760.192101</v>
      </c>
      <c r="K551" s="9">
        <v>60046973447.014511</v>
      </c>
      <c r="L551" s="9">
        <v>62684223888.180443</v>
      </c>
      <c r="M551" s="9">
        <v>65382938047.951363</v>
      </c>
      <c r="N551" s="9">
        <v>68130721182.234924</v>
      </c>
      <c r="O551" s="9">
        <v>70903248852.242676</v>
      </c>
      <c r="P551" s="9">
        <v>73701677796.152161</v>
      </c>
      <c r="Q551" s="9">
        <v>76607944589.196014</v>
      </c>
    </row>
    <row r="552" spans="2:17" s="9" customFormat="1" x14ac:dyDescent="0.25">
      <c r="B552" s="130" t="s">
        <v>1435</v>
      </c>
      <c r="D552" s="9">
        <v>1190425478954</v>
      </c>
      <c r="E552" s="9">
        <v>1349953464576</v>
      </c>
      <c r="F552" s="9">
        <v>1444415524848</v>
      </c>
      <c r="G552" s="9">
        <v>1472940849747.272</v>
      </c>
      <c r="H552" s="9">
        <v>1532116355922.804</v>
      </c>
      <c r="I552" s="9">
        <v>1593668750244.5151</v>
      </c>
      <c r="J552" s="9">
        <v>1657694248290.271</v>
      </c>
      <c r="K552" s="9">
        <v>1724292010390.7253</v>
      </c>
      <c r="L552" s="9">
        <v>1793565159113.97</v>
      </c>
      <c r="M552" s="9">
        <v>1865622001255.1182</v>
      </c>
      <c r="N552" s="9">
        <v>1940573073235.1858</v>
      </c>
      <c r="O552" s="9">
        <v>2018535499540.3579</v>
      </c>
      <c r="P552" s="9">
        <v>2099630015728.5498</v>
      </c>
      <c r="Q552" s="9">
        <v>2183982181391.3215</v>
      </c>
    </row>
    <row r="553" spans="2:17" s="9" customFormat="1" x14ac:dyDescent="0.25">
      <c r="B553" s="130"/>
    </row>
    <row r="554" spans="2:17" s="9" customFormat="1" x14ac:dyDescent="0.25">
      <c r="B554" s="9" t="s">
        <v>1442</v>
      </c>
      <c r="D554" s="116">
        <v>6.2638220896633285</v>
      </c>
      <c r="E554" s="116">
        <v>5.7858948244932344</v>
      </c>
      <c r="F554" s="116">
        <v>4.6344309188771531</v>
      </c>
      <c r="G554" s="116">
        <v>2.0329472440217495</v>
      </c>
      <c r="H554" s="116">
        <v>2.1513331289652391</v>
      </c>
      <c r="I554" s="116">
        <v>2.1583906845837606</v>
      </c>
      <c r="J554" s="116">
        <v>2.0988220844336207</v>
      </c>
      <c r="K554" s="116">
        <v>1.9937862788026297</v>
      </c>
      <c r="L554" s="116">
        <v>1.8654445046739034</v>
      </c>
      <c r="M554" s="116">
        <v>1.7564328645205189</v>
      </c>
      <c r="N554" s="116">
        <v>1.6628333283567487</v>
      </c>
      <c r="O554" s="116">
        <v>1.5817529699216279</v>
      </c>
      <c r="P554" s="116">
        <v>1.5109805816914106</v>
      </c>
      <c r="Q554" s="116">
        <v>1.4487196718284068</v>
      </c>
    </row>
    <row r="555" spans="2:17" s="9" customFormat="1" x14ac:dyDescent="0.25">
      <c r="B555" s="9" t="s">
        <v>1439</v>
      </c>
      <c r="D555" s="116">
        <v>1</v>
      </c>
      <c r="E555" s="116">
        <v>1</v>
      </c>
      <c r="F555" s="116">
        <v>1</v>
      </c>
      <c r="G555" s="116">
        <v>1</v>
      </c>
      <c r="H555" s="116">
        <v>1</v>
      </c>
      <c r="I555" s="116">
        <v>1</v>
      </c>
      <c r="J555" s="116">
        <v>1</v>
      </c>
      <c r="K555" s="116">
        <v>1</v>
      </c>
      <c r="L555" s="116">
        <v>1</v>
      </c>
      <c r="M555" s="116">
        <v>1</v>
      </c>
      <c r="N555" s="116">
        <v>1</v>
      </c>
      <c r="O555" s="116">
        <v>1</v>
      </c>
      <c r="P555" s="116">
        <v>1</v>
      </c>
      <c r="Q555" s="116">
        <v>1</v>
      </c>
    </row>
    <row r="556" spans="2:17" s="9" customFormat="1" x14ac:dyDescent="0.25">
      <c r="B556" s="130" t="s">
        <v>1435</v>
      </c>
      <c r="D556" s="9">
        <v>1190425478954</v>
      </c>
      <c r="E556" s="9">
        <v>1349953464576</v>
      </c>
      <c r="F556" s="9">
        <v>1444415524848</v>
      </c>
      <c r="G556" s="9">
        <v>1472940849747.272</v>
      </c>
      <c r="H556" s="9">
        <v>1532116355922.804</v>
      </c>
      <c r="I556" s="9">
        <v>1593668750244.5151</v>
      </c>
      <c r="J556" s="9">
        <v>1657694248290.271</v>
      </c>
      <c r="K556" s="9">
        <v>1724292010390.7253</v>
      </c>
      <c r="L556" s="9">
        <v>1793565159113.97</v>
      </c>
      <c r="M556" s="9">
        <v>1865622001255.1182</v>
      </c>
      <c r="N556" s="9">
        <v>1940573073235.1858</v>
      </c>
      <c r="O556" s="9">
        <v>2018535499540.3579</v>
      </c>
      <c r="P556" s="9">
        <v>2099630015728.5498</v>
      </c>
      <c r="Q556" s="9">
        <v>2183982181391.3215</v>
      </c>
    </row>
    <row r="557" spans="2:17" s="9" customFormat="1" x14ac:dyDescent="0.25">
      <c r="B557" s="130" t="s">
        <v>1441</v>
      </c>
      <c r="D557" s="9">
        <v>190047779441</v>
      </c>
      <c r="E557" s="9">
        <v>233318009664</v>
      </c>
      <c r="F557" s="9">
        <v>311670526572</v>
      </c>
      <c r="G557" s="9">
        <v>724534713863.68823</v>
      </c>
      <c r="H557" s="9">
        <v>712170670034.59863</v>
      </c>
      <c r="I557" s="9">
        <v>738359724042.19739</v>
      </c>
      <c r="J557" s="9">
        <v>789821233817.25769</v>
      </c>
      <c r="K557" s="9">
        <v>864832920520.57385</v>
      </c>
      <c r="L557" s="9">
        <v>961467979679.99658</v>
      </c>
      <c r="M557" s="9">
        <v>1062165277671.6896</v>
      </c>
      <c r="N557" s="9">
        <v>1167028011853.0618</v>
      </c>
      <c r="O557" s="9">
        <v>1276138270592.5132</v>
      </c>
      <c r="P557" s="9">
        <v>1389581071504.0413</v>
      </c>
      <c r="Q557" s="9">
        <v>1507525730381.6074</v>
      </c>
    </row>
    <row r="558" spans="2:17" s="9" customFormat="1" x14ac:dyDescent="0.25">
      <c r="B558" s="130"/>
    </row>
    <row r="559" spans="2:17" s="9" customFormat="1" x14ac:dyDescent="0.25">
      <c r="B559" s="9" t="s">
        <v>1440</v>
      </c>
      <c r="D559" s="8">
        <v>-0.57527735892300369</v>
      </c>
      <c r="E559" s="8">
        <v>-0.51163103740216209</v>
      </c>
      <c r="F559" s="8">
        <v>-1.2673643237316179</v>
      </c>
      <c r="G559" s="8">
        <v>-9.0490782111380549E-2</v>
      </c>
      <c r="H559" s="8">
        <v>-2.8150581706284674E-2</v>
      </c>
      <c r="I559" s="8">
        <v>1.4676945167909666E-2</v>
      </c>
      <c r="J559" s="8">
        <v>4.4997083186060521E-2</v>
      </c>
      <c r="K559" s="8">
        <v>6.9431877559506056E-2</v>
      </c>
      <c r="L559" s="8">
        <v>6.5196371811616138E-2</v>
      </c>
      <c r="M559" s="8">
        <v>6.1556275113109966E-2</v>
      </c>
      <c r="N559" s="8">
        <v>5.8379679399514821E-2</v>
      </c>
      <c r="O559" s="8">
        <v>5.5560788737510532E-2</v>
      </c>
      <c r="P559" s="8">
        <v>5.3038775000280952E-2</v>
      </c>
      <c r="Q559" s="8">
        <v>5.0817006333818172E-2</v>
      </c>
    </row>
    <row r="560" spans="2:17" s="9" customFormat="1" x14ac:dyDescent="0.25">
      <c r="B560" s="9" t="s">
        <v>1439</v>
      </c>
      <c r="D560" s="116">
        <v>1</v>
      </c>
      <c r="E560" s="116">
        <v>1</v>
      </c>
      <c r="F560" s="116">
        <v>1</v>
      </c>
      <c r="G560" s="116">
        <v>1</v>
      </c>
      <c r="H560" s="116">
        <v>1</v>
      </c>
      <c r="I560" s="116">
        <v>1</v>
      </c>
      <c r="J560" s="116">
        <v>1</v>
      </c>
      <c r="K560" s="116">
        <v>1</v>
      </c>
      <c r="L560" s="116">
        <v>1</v>
      </c>
      <c r="M560" s="116">
        <v>1</v>
      </c>
      <c r="N560" s="116">
        <v>1</v>
      </c>
      <c r="O560" s="116">
        <v>1</v>
      </c>
      <c r="P560" s="116">
        <v>1</v>
      </c>
      <c r="Q560" s="116">
        <v>1</v>
      </c>
    </row>
    <row r="561" spans="2:17" s="9" customFormat="1" x14ac:dyDescent="0.25">
      <c r="B561" s="130" t="s">
        <v>1434</v>
      </c>
      <c r="D561" s="9">
        <v>-109330184626</v>
      </c>
      <c r="E561" s="9">
        <v>-119372735329</v>
      </c>
      <c r="F561" s="9">
        <v>-395000106136</v>
      </c>
      <c r="G561" s="9">
        <v>-65563712924.370468</v>
      </c>
      <c r="H561" s="9">
        <v>-20048018635.628471</v>
      </c>
      <c r="I561" s="9">
        <v>10836865183.960243</v>
      </c>
      <c r="J561" s="9">
        <v>35539651760.192101</v>
      </c>
      <c r="K561" s="9">
        <v>60046973447.014511</v>
      </c>
      <c r="L561" s="9">
        <v>62684223888.180443</v>
      </c>
      <c r="M561" s="9">
        <v>65382938047.951363</v>
      </c>
      <c r="N561" s="9">
        <v>68130721182.234924</v>
      </c>
      <c r="O561" s="9">
        <v>70903248852.242676</v>
      </c>
      <c r="P561" s="9">
        <v>73701677796.152161</v>
      </c>
      <c r="Q561" s="9">
        <v>76607944589.196014</v>
      </c>
    </row>
    <row r="562" spans="2:17" s="9" customFormat="1" x14ac:dyDescent="0.25">
      <c r="B562" s="130" t="s">
        <v>1441</v>
      </c>
      <c r="D562" s="9">
        <v>190047779441</v>
      </c>
      <c r="E562" s="9">
        <v>233318009664</v>
      </c>
      <c r="F562" s="9">
        <v>311670526572</v>
      </c>
      <c r="G562" s="9">
        <v>724534713863.68823</v>
      </c>
      <c r="H562" s="9">
        <v>712170670034.59863</v>
      </c>
      <c r="I562" s="9">
        <v>738359724042.19739</v>
      </c>
      <c r="J562" s="9">
        <v>789821233817.25769</v>
      </c>
      <c r="K562" s="9">
        <v>864832920520.57385</v>
      </c>
      <c r="L562" s="9">
        <v>961467979679.99658</v>
      </c>
      <c r="M562" s="9">
        <v>1062165277671.6896</v>
      </c>
      <c r="N562" s="9">
        <v>1167028011853.0618</v>
      </c>
      <c r="O562" s="9">
        <v>1276138270592.5132</v>
      </c>
      <c r="P562" s="9">
        <v>1389581071504.0413</v>
      </c>
      <c r="Q562" s="9">
        <v>1507525730381.6074</v>
      </c>
    </row>
    <row r="563" spans="2:17" s="9" customFormat="1" x14ac:dyDescent="0.25">
      <c r="B563" s="130"/>
    </row>
    <row r="564" spans="2:17" s="9" customFormat="1" x14ac:dyDescent="0.25">
      <c r="B564" s="9" t="s">
        <v>1449</v>
      </c>
      <c r="D564" s="8">
        <v>1.0573197429737109</v>
      </c>
      <c r="E564" s="8">
        <v>1.0483184022343222</v>
      </c>
      <c r="F564" s="8">
        <v>1.2458603063660443</v>
      </c>
      <c r="G564" s="8">
        <v>1.0204283615122978</v>
      </c>
      <c r="H564" s="8">
        <v>0.98997843307571443</v>
      </c>
      <c r="I564" s="8">
        <v>0.96991629513569566</v>
      </c>
      <c r="J564" s="8">
        <v>0.95041794964521542</v>
      </c>
      <c r="K564" s="8">
        <v>0.92989067763719147</v>
      </c>
      <c r="L564" s="8">
        <v>0.92989067763719158</v>
      </c>
      <c r="M564" s="8">
        <v>0.92989067763719147</v>
      </c>
      <c r="N564" s="8">
        <v>0.92989067763719147</v>
      </c>
      <c r="O564" s="8">
        <v>0.92989067763719147</v>
      </c>
      <c r="P564" s="8">
        <v>0.92989067763719147</v>
      </c>
      <c r="Q564" s="8">
        <v>0.92989067763719147</v>
      </c>
    </row>
    <row r="565" spans="2:17" s="268" customFormat="1" x14ac:dyDescent="0.25">
      <c r="B565" s="268" t="s">
        <v>1439</v>
      </c>
      <c r="D565" s="268">
        <v>0.9</v>
      </c>
      <c r="E565" s="268">
        <v>0.9</v>
      </c>
      <c r="F565" s="268">
        <v>0.9</v>
      </c>
      <c r="G565" s="268">
        <v>0.9</v>
      </c>
      <c r="H565" s="268">
        <v>0.9</v>
      </c>
      <c r="I565" s="268">
        <v>0.9</v>
      </c>
      <c r="J565" s="268">
        <v>0.9</v>
      </c>
      <c r="K565" s="268">
        <v>0.9</v>
      </c>
      <c r="L565" s="268">
        <v>0.9</v>
      </c>
      <c r="M565" s="268">
        <v>0.9</v>
      </c>
      <c r="N565" s="268">
        <v>0.9</v>
      </c>
      <c r="O565" s="268">
        <v>0.9</v>
      </c>
      <c r="P565" s="268">
        <v>0.9</v>
      </c>
      <c r="Q565" s="268">
        <v>0.9</v>
      </c>
    </row>
    <row r="566" spans="2:17" s="9" customFormat="1" x14ac:dyDescent="0.25">
      <c r="B566" s="130" t="s">
        <v>1435</v>
      </c>
      <c r="D566" s="9">
        <v>1190425478954</v>
      </c>
      <c r="E566" s="9">
        <v>1349953464576</v>
      </c>
      <c r="F566" s="9">
        <v>1444415524848</v>
      </c>
      <c r="G566" s="9">
        <v>1472940849747.272</v>
      </c>
      <c r="H566" s="9">
        <v>1532116355922.804</v>
      </c>
      <c r="I566" s="9">
        <v>1593668750244.5151</v>
      </c>
      <c r="J566" s="9">
        <v>1657694248290.271</v>
      </c>
      <c r="K566" s="9">
        <v>1724292010390.7253</v>
      </c>
      <c r="L566" s="9">
        <v>1793565159113.97</v>
      </c>
      <c r="M566" s="9">
        <v>1865622001255.1182</v>
      </c>
      <c r="N566" s="9">
        <v>1940573073235.1858</v>
      </c>
      <c r="O566" s="9">
        <v>2018535499540.3579</v>
      </c>
      <c r="P566" s="9">
        <v>2099630015728.5498</v>
      </c>
      <c r="Q566" s="9">
        <v>2183982181391.3215</v>
      </c>
    </row>
    <row r="567" spans="2:17" s="9" customFormat="1" x14ac:dyDescent="0.25">
      <c r="B567" s="130" t="s">
        <v>13</v>
      </c>
      <c r="D567" s="9">
        <v>1258660361437</v>
      </c>
      <c r="E567" s="9">
        <v>1415181059075</v>
      </c>
      <c r="F567" s="9">
        <v>1799539968307</v>
      </c>
      <c r="G567" s="9">
        <v>1503030617912.1404</v>
      </c>
      <c r="H567" s="9">
        <v>1516762149326.1311</v>
      </c>
      <c r="I567" s="9">
        <v>1545725289910.6943</v>
      </c>
      <c r="J567" s="9">
        <v>1575502368598.7061</v>
      </c>
      <c r="K567" s="9">
        <v>1603403065986.6267</v>
      </c>
      <c r="L567" s="9">
        <v>1667819521194.9468</v>
      </c>
      <c r="M567" s="9">
        <v>1734824506961.9751</v>
      </c>
      <c r="N567" s="9">
        <v>1804520810075.1541</v>
      </c>
      <c r="O567" s="9">
        <v>1877017343502.3103</v>
      </c>
      <c r="P567" s="9">
        <v>1952426378113.2083</v>
      </c>
      <c r="Q567" s="9">
        <v>2030864670601.5276</v>
      </c>
    </row>
    <row r="568" spans="2:17" s="9" customFormat="1" x14ac:dyDescent="0.25">
      <c r="B568" s="130"/>
    </row>
    <row r="569" spans="2:17" s="9" customFormat="1" x14ac:dyDescent="0.25">
      <c r="B569" s="9" t="s">
        <v>1455</v>
      </c>
      <c r="D569" s="269">
        <v>-169498417215</v>
      </c>
      <c r="E569" s="269">
        <v>-288871152544</v>
      </c>
      <c r="F569" s="269">
        <v>-672239351599</v>
      </c>
      <c r="G569" s="269">
        <v>-53927276935.370468</v>
      </c>
      <c r="H569" s="269">
        <v>-73975295570.998962</v>
      </c>
      <c r="I569" s="269">
        <v>-63138430387.038666</v>
      </c>
      <c r="J569" s="269">
        <v>-27598778626.846596</v>
      </c>
      <c r="K569" s="269">
        <v>32448194820.167953</v>
      </c>
      <c r="L569" s="269">
        <v>95132418708.348419</v>
      </c>
      <c r="M569" s="269">
        <v>160515356756.29974</v>
      </c>
      <c r="N569" s="269">
        <v>228646077938.53473</v>
      </c>
      <c r="O569" s="269">
        <v>299549326790.7774</v>
      </c>
      <c r="P569" s="269">
        <v>373251004586.92957</v>
      </c>
      <c r="Q569" s="269">
        <v>449858949176.12561</v>
      </c>
    </row>
    <row r="570" spans="2:17" s="9" customFormat="1" x14ac:dyDescent="0.25">
      <c r="B570" s="9" t="s">
        <v>19</v>
      </c>
      <c r="D570" s="307">
        <v>2015</v>
      </c>
      <c r="E570" s="307">
        <v>2016</v>
      </c>
      <c r="F570" s="307">
        <v>2017</v>
      </c>
      <c r="G570" s="307">
        <v>2018</v>
      </c>
      <c r="H570" s="307">
        <v>2019</v>
      </c>
      <c r="I570" s="307">
        <v>2020</v>
      </c>
      <c r="J570" s="307">
        <v>2021</v>
      </c>
      <c r="K570" s="307">
        <v>2022</v>
      </c>
      <c r="L570" s="307">
        <v>2023</v>
      </c>
      <c r="M570" s="307">
        <v>2024</v>
      </c>
      <c r="N570" s="307">
        <v>2025</v>
      </c>
      <c r="O570" s="307">
        <v>2026</v>
      </c>
      <c r="P570" s="307">
        <v>2027</v>
      </c>
      <c r="Q570" s="307">
        <v>2028</v>
      </c>
    </row>
    <row r="571" spans="2:17" s="9" customFormat="1" x14ac:dyDescent="0.25">
      <c r="B571" s="9" t="s">
        <v>1564</v>
      </c>
      <c r="D571" s="307" t="s">
        <v>1593</v>
      </c>
      <c r="E571" s="307" t="s">
        <v>1593</v>
      </c>
      <c r="F571" s="307" t="s">
        <v>1593</v>
      </c>
      <c r="G571" s="307" t="s">
        <v>1593</v>
      </c>
      <c r="H571" s="307" t="s">
        <v>1593</v>
      </c>
      <c r="I571" s="307" t="s">
        <v>1593</v>
      </c>
      <c r="J571" s="307" t="s">
        <v>1593</v>
      </c>
      <c r="K571" s="307">
        <v>2022</v>
      </c>
      <c r="L571" s="307">
        <v>2023</v>
      </c>
      <c r="M571" s="307">
        <v>2024</v>
      </c>
      <c r="N571" s="307">
        <v>2025</v>
      </c>
      <c r="O571" s="307">
        <v>2026</v>
      </c>
      <c r="P571" s="307">
        <v>2027</v>
      </c>
      <c r="Q571" s="307">
        <v>2028</v>
      </c>
    </row>
    <row r="572" spans="2:17" s="9" customFormat="1" x14ac:dyDescent="0.25">
      <c r="D572" s="269"/>
      <c r="E572" s="269"/>
      <c r="F572" s="269"/>
      <c r="G572" s="269"/>
      <c r="H572" s="269"/>
      <c r="I572" s="269"/>
      <c r="J572" s="269"/>
      <c r="K572" s="269"/>
      <c r="L572" s="269"/>
      <c r="M572" s="269"/>
      <c r="N572" s="269"/>
      <c r="O572" s="269"/>
      <c r="P572" s="269"/>
      <c r="Q572" s="269"/>
    </row>
    <row r="573" spans="2:17" s="9" customFormat="1" x14ac:dyDescent="0.25">
      <c r="B573" s="9" t="s">
        <v>1459</v>
      </c>
      <c r="D573" s="269">
        <v>10829724787</v>
      </c>
      <c r="E573" s="269">
        <v>20611607335</v>
      </c>
      <c r="F573" s="269">
        <v>39587220947</v>
      </c>
      <c r="G573" s="269">
        <v>452119435966.46698</v>
      </c>
      <c r="H573" s="269">
        <v>429366269457.69336</v>
      </c>
      <c r="I573" s="269">
        <v>471421856576.85999</v>
      </c>
      <c r="J573" s="269">
        <v>535961488867.81799</v>
      </c>
      <c r="K573" s="269">
        <v>625613481991.77197</v>
      </c>
      <c r="L573" s="269">
        <v>738344437803.82458</v>
      </c>
      <c r="M573" s="269">
        <v>830809824364.48706</v>
      </c>
      <c r="N573" s="269">
        <v>927110004340.43213</v>
      </c>
      <c r="O573" s="269">
        <v>1027313686136.866</v>
      </c>
      <c r="P573" s="269">
        <v>1131492094140.1023</v>
      </c>
      <c r="Q573" s="269">
        <v>1239800199879.7925</v>
      </c>
    </row>
    <row r="574" spans="2:17" s="9" customFormat="1" x14ac:dyDescent="0.25">
      <c r="B574" s="9" t="s">
        <v>1460</v>
      </c>
      <c r="D574" s="269">
        <v>262220908632.70834</v>
      </c>
      <c r="E574" s="269">
        <v>294829387307.29163</v>
      </c>
      <c r="F574" s="269">
        <v>374904160063.95837</v>
      </c>
      <c r="G574" s="269">
        <v>313131378731.69592</v>
      </c>
      <c r="H574" s="269">
        <v>315992114442.94397</v>
      </c>
      <c r="I574" s="269">
        <v>322026102064.72803</v>
      </c>
      <c r="J574" s="269">
        <v>328229660124.73041</v>
      </c>
      <c r="K574" s="269">
        <v>334042305413.88062</v>
      </c>
      <c r="L574" s="269">
        <v>347462400248.94727</v>
      </c>
      <c r="M574" s="269">
        <v>361421772283.74481</v>
      </c>
      <c r="N574" s="269">
        <v>375941835432.32373</v>
      </c>
      <c r="O574" s="269">
        <v>391045279896.31464</v>
      </c>
      <c r="P574" s="269">
        <v>406755495440.25171</v>
      </c>
      <c r="Q574" s="269">
        <v>423096806375.31824</v>
      </c>
    </row>
    <row r="575" spans="2:17" s="9" customFormat="1" x14ac:dyDescent="0.25">
      <c r="B575" s="270" t="s">
        <v>1461</v>
      </c>
      <c r="D575" s="269">
        <v>-251391183845.70834</v>
      </c>
      <c r="E575" s="269">
        <v>-274217779972.29163</v>
      </c>
      <c r="F575" s="269">
        <v>-335316939116.95837</v>
      </c>
      <c r="G575" s="269">
        <v>138988057234.77106</v>
      </c>
      <c r="H575" s="269">
        <v>113374155014.74939</v>
      </c>
      <c r="I575" s="269">
        <v>149395754512.13196</v>
      </c>
      <c r="J575" s="269">
        <v>207731828743.08759</v>
      </c>
      <c r="K575" s="269">
        <v>291571176577.89136</v>
      </c>
      <c r="L575" s="269">
        <v>390882037554.87732</v>
      </c>
      <c r="M575" s="269">
        <v>469388052080.74225</v>
      </c>
      <c r="N575" s="269">
        <v>551168168908.1084</v>
      </c>
      <c r="O575" s="269">
        <v>636268406240.55127</v>
      </c>
      <c r="P575" s="269">
        <v>724736598699.85059</v>
      </c>
      <c r="Q575" s="269">
        <v>816703393504.47424</v>
      </c>
    </row>
    <row r="576" spans="2:17" s="9" customFormat="1" x14ac:dyDescent="0.25">
      <c r="B576" s="270" t="s">
        <v>1515</v>
      </c>
      <c r="D576" s="269">
        <v>10829724787</v>
      </c>
      <c r="E576" s="269">
        <v>20611607335</v>
      </c>
      <c r="F576" s="269">
        <v>39587220947</v>
      </c>
      <c r="G576" s="269">
        <v>313131378731.69592</v>
      </c>
      <c r="H576" s="269">
        <v>315992114442.94397</v>
      </c>
      <c r="I576" s="269">
        <v>322026102064.72803</v>
      </c>
      <c r="J576" s="269">
        <v>328229660124.73041</v>
      </c>
      <c r="K576" s="269">
        <v>334042305413.88062</v>
      </c>
      <c r="L576" s="269">
        <v>347462400248.94727</v>
      </c>
      <c r="M576" s="269">
        <v>361421772283.74481</v>
      </c>
      <c r="N576" s="269">
        <v>375941835432.32373</v>
      </c>
      <c r="O576" s="269">
        <v>391045279896.31464</v>
      </c>
      <c r="P576" s="269">
        <v>406755495440.25171</v>
      </c>
      <c r="Q576" s="269">
        <v>423096806375.31824</v>
      </c>
    </row>
    <row r="577" spans="2:17" s="9" customFormat="1" x14ac:dyDescent="0.25">
      <c r="B577" s="270"/>
      <c r="D577" s="269"/>
      <c r="E577" s="269"/>
      <c r="F577" s="269"/>
      <c r="G577" s="269"/>
      <c r="H577" s="269"/>
      <c r="I577" s="269"/>
      <c r="J577" s="269"/>
      <c r="K577" s="269"/>
      <c r="L577" s="269"/>
      <c r="M577" s="269"/>
      <c r="N577" s="269"/>
      <c r="O577" s="269"/>
      <c r="P577" s="269"/>
      <c r="Q577" s="269"/>
    </row>
    <row r="578" spans="2:17" s="101" customFormat="1" x14ac:dyDescent="0.25">
      <c r="B578" s="271" t="s">
        <v>987</v>
      </c>
      <c r="D578" s="272">
        <v>1</v>
      </c>
      <c r="E578" s="272">
        <v>1</v>
      </c>
      <c r="F578" s="272">
        <v>1</v>
      </c>
      <c r="G578" s="272">
        <v>1</v>
      </c>
      <c r="H578" s="272">
        <v>1</v>
      </c>
      <c r="I578" s="272">
        <v>1</v>
      </c>
      <c r="J578" s="272">
        <v>1</v>
      </c>
      <c r="K578" s="272">
        <v>1</v>
      </c>
      <c r="L578" s="272">
        <v>1</v>
      </c>
      <c r="M578" s="272">
        <v>1</v>
      </c>
      <c r="N578" s="272">
        <v>1</v>
      </c>
      <c r="O578" s="272">
        <v>1</v>
      </c>
      <c r="P578" s="272">
        <v>1</v>
      </c>
      <c r="Q578" s="272">
        <v>1</v>
      </c>
    </row>
    <row r="579" spans="2:17" s="101" customFormat="1" x14ac:dyDescent="0.25">
      <c r="B579" s="271" t="s">
        <v>1462</v>
      </c>
      <c r="D579" s="272">
        <v>-1.0573197429737109</v>
      </c>
      <c r="E579" s="272">
        <v>-1.0483184022343222</v>
      </c>
      <c r="F579" s="272">
        <v>-1.2458603063660443</v>
      </c>
      <c r="G579" s="272">
        <v>-1.0204283615122978</v>
      </c>
      <c r="H579" s="272">
        <v>-0.98997843307571443</v>
      </c>
      <c r="I579" s="272">
        <v>-0.96991629513569566</v>
      </c>
      <c r="J579" s="272">
        <v>-0.95041794964521542</v>
      </c>
      <c r="K579" s="272">
        <v>-0.92989067763719147</v>
      </c>
      <c r="L579" s="272">
        <v>-0.92989067763719158</v>
      </c>
      <c r="M579" s="272">
        <v>-0.92989067763719147</v>
      </c>
      <c r="N579" s="272">
        <v>-0.92989067763719147</v>
      </c>
      <c r="O579" s="272">
        <v>-0.92989067763719147</v>
      </c>
      <c r="P579" s="272">
        <v>-0.92989067763719147</v>
      </c>
      <c r="Q579" s="272">
        <v>-0.92989067763719147</v>
      </c>
    </row>
    <row r="580" spans="2:17" s="101" customFormat="1" x14ac:dyDescent="0.25">
      <c r="B580" s="271" t="s">
        <v>1463</v>
      </c>
      <c r="D580" s="272">
        <v>-5.5047679294952481E-2</v>
      </c>
      <c r="E580" s="272">
        <v>-5.309234501836043E-2</v>
      </c>
      <c r="F580" s="272">
        <v>-3.8564356581435789E-2</v>
      </c>
      <c r="G580" s="272">
        <v>-3.6287626851923951E-2</v>
      </c>
      <c r="H580" s="272">
        <v>-3.6651561263718498E-2</v>
      </c>
      <c r="I580" s="272">
        <v>-3.6543564520567243E-2</v>
      </c>
      <c r="J580" s="272">
        <v>-3.6668637043179901E-2</v>
      </c>
      <c r="K580" s="272">
        <v>-3.6791919986511532E-2</v>
      </c>
      <c r="L580" s="272">
        <v>-3.6798362615631935E-2</v>
      </c>
      <c r="M580" s="272">
        <v>-3.6824254603991219E-2</v>
      </c>
      <c r="N580" s="272">
        <v>-3.6885153223035753E-2</v>
      </c>
      <c r="O580" s="272">
        <v>-3.6946868868353543E-2</v>
      </c>
      <c r="P580" s="272">
        <v>-3.7009407260220187E-2</v>
      </c>
      <c r="Q580" s="272">
        <v>-3.7072774098299177E-2</v>
      </c>
    </row>
    <row r="581" spans="2:17" s="101" customFormat="1" x14ac:dyDescent="0.25">
      <c r="B581" s="271" t="s">
        <v>1464</v>
      </c>
      <c r="D581" s="272">
        <v>3.0436204037598617E-2</v>
      </c>
      <c r="E581" s="272">
        <v>3.4900062060137481E-2</v>
      </c>
      <c r="F581" s="272">
        <v>1.4705682523895099E-2</v>
      </c>
      <c r="G581" s="272">
        <v>1.5500000000000002E-2</v>
      </c>
      <c r="H581" s="272">
        <v>1.6404339104395552E-2</v>
      </c>
      <c r="I581" s="272">
        <v>1.9373186001438582E-2</v>
      </c>
      <c r="J581" s="272">
        <v>2.2141551143651163E-2</v>
      </c>
      <c r="K581" s="272">
        <v>2.1975306225164377E-2</v>
      </c>
      <c r="L581" s="272">
        <v>2.1844612449952498E-2</v>
      </c>
      <c r="M581" s="272">
        <v>2.1712276328821462E-2</v>
      </c>
      <c r="N581" s="272">
        <v>2.1645778540159148E-2</v>
      </c>
      <c r="O581" s="272">
        <v>2.1645778968042411E-2</v>
      </c>
      <c r="P581" s="272">
        <v>2.1645779512755581E-2</v>
      </c>
      <c r="Q581" s="272">
        <v>2.16457802323737E-2</v>
      </c>
    </row>
    <row r="582" spans="2:17" s="101" customFormat="1" x14ac:dyDescent="0.25">
      <c r="B582" s="271" t="s">
        <v>1465</v>
      </c>
      <c r="D582" s="272">
        <v>-9.9100490795659985E-3</v>
      </c>
      <c r="E582" s="272">
        <v>-2.1916611348742041E-2</v>
      </c>
      <c r="F582" s="272">
        <v>-3.748106672122423E-3</v>
      </c>
      <c r="G582" s="272">
        <v>-3.2961269292198824E-3</v>
      </c>
      <c r="H582" s="272">
        <v>-2.859524985203372E-3</v>
      </c>
      <c r="I582" s="272">
        <v>-2.4518673497240136E-3</v>
      </c>
      <c r="J582" s="272">
        <v>-2.0715675593776231E-3</v>
      </c>
      <c r="K582" s="272">
        <v>-1.7171201323599782E-3</v>
      </c>
      <c r="L582" s="272">
        <v>-1.3870949102943162E-3</v>
      </c>
      <c r="M582" s="272">
        <v>-1.0801328890603754E-3</v>
      </c>
      <c r="N582" s="272">
        <v>-8.5678240820496402E-4</v>
      </c>
      <c r="O582" s="272">
        <v>-7.6810221163890735E-4</v>
      </c>
      <c r="P582" s="272">
        <v>-7.4227698458540587E-4</v>
      </c>
      <c r="Q582" s="272">
        <v>-7.1743020454064334E-4</v>
      </c>
    </row>
    <row r="583" spans="2:17" s="101" customFormat="1" x14ac:dyDescent="0.25">
      <c r="B583" s="271" t="s">
        <v>1466</v>
      </c>
      <c r="D583" s="272">
        <v>0</v>
      </c>
      <c r="E583" s="272">
        <v>0</v>
      </c>
      <c r="F583" s="272">
        <v>0</v>
      </c>
      <c r="G583" s="272">
        <v>0</v>
      </c>
      <c r="H583" s="272">
        <v>0</v>
      </c>
      <c r="I583" s="272">
        <v>-3.6615106484080965E-3</v>
      </c>
      <c r="J583" s="272">
        <v>-1.1544188913557367E-2</v>
      </c>
      <c r="K583" s="272">
        <v>-1.8751455964185502E-2</v>
      </c>
      <c r="L583" s="272">
        <v>-1.8818967050392155E-2</v>
      </c>
      <c r="M583" s="272">
        <v>-1.8871023919502437E-2</v>
      </c>
      <c r="N583" s="272">
        <v>-1.8904607845104445E-2</v>
      </c>
      <c r="O583" s="272">
        <v>-1.8914045587800455E-2</v>
      </c>
      <c r="P583" s="272">
        <v>-1.8901196170765466E-2</v>
      </c>
      <c r="Q583" s="272">
        <v>-1.8887714402319841E-2</v>
      </c>
    </row>
    <row r="584" spans="2:17" s="9" customFormat="1" x14ac:dyDescent="0.25">
      <c r="B584" s="270"/>
      <c r="D584" s="269"/>
      <c r="E584" s="269"/>
      <c r="F584" s="269"/>
      <c r="G584" s="269"/>
      <c r="H584" s="269"/>
      <c r="I584" s="269"/>
      <c r="J584" s="269"/>
      <c r="K584" s="269"/>
      <c r="L584" s="269"/>
      <c r="M584" s="269"/>
      <c r="N584" s="269"/>
      <c r="O584" s="269"/>
      <c r="P584" s="269"/>
      <c r="Q584" s="269"/>
    </row>
    <row r="585" spans="2:17" s="101" customFormat="1" x14ac:dyDescent="0.25">
      <c r="B585" s="271" t="s">
        <v>1469</v>
      </c>
      <c r="D585" s="272">
        <v>-5.7319742973710924E-2</v>
      </c>
      <c r="E585" s="272">
        <v>-4.8318402234322204E-2</v>
      </c>
      <c r="F585" s="272">
        <v>-0.24586030636604433</v>
      </c>
      <c r="G585" s="272">
        <v>-2.0428361512297814E-2</v>
      </c>
      <c r="H585" s="272">
        <v>1.0021566924285533E-2</v>
      </c>
      <c r="I585" s="272">
        <v>3.0083704864304381E-2</v>
      </c>
      <c r="J585" s="272">
        <v>4.9582050354784551E-2</v>
      </c>
      <c r="K585" s="272">
        <v>7.0109322362808577E-2</v>
      </c>
      <c r="L585" s="272">
        <v>7.0109322362808479E-2</v>
      </c>
      <c r="M585" s="272">
        <v>7.0109322362808535E-2</v>
      </c>
      <c r="N585" s="272">
        <v>7.0109322362808563E-2</v>
      </c>
      <c r="O585" s="272">
        <v>7.0109322362808479E-2</v>
      </c>
      <c r="P585" s="272">
        <v>7.0109322362808493E-2</v>
      </c>
      <c r="Q585" s="272">
        <v>7.0109322362808535E-2</v>
      </c>
    </row>
    <row r="586" spans="2:17" s="101" customFormat="1" x14ac:dyDescent="0.25">
      <c r="B586" s="271" t="s">
        <v>1468</v>
      </c>
      <c r="D586" s="272">
        <v>-0.11236742226866341</v>
      </c>
      <c r="E586" s="272">
        <v>-0.10141074725268263</v>
      </c>
      <c r="F586" s="272">
        <v>-0.28442466294748014</v>
      </c>
      <c r="G586" s="272">
        <v>-5.6715988364221759E-2</v>
      </c>
      <c r="H586" s="272">
        <v>-2.6629994339432968E-2</v>
      </c>
      <c r="I586" s="272">
        <v>-6.4598596562628662E-3</v>
      </c>
      <c r="J586" s="272">
        <v>1.2913413311604654E-2</v>
      </c>
      <c r="K586" s="272">
        <v>3.3317402376297045E-2</v>
      </c>
      <c r="L586" s="272">
        <v>3.3310959747176537E-2</v>
      </c>
      <c r="M586" s="272">
        <v>3.3285067758817316E-2</v>
      </c>
      <c r="N586" s="272">
        <v>3.3224169139772802E-2</v>
      </c>
      <c r="O586" s="272">
        <v>3.3162453494454944E-2</v>
      </c>
      <c r="P586" s="272">
        <v>3.30999151025883E-2</v>
      </c>
      <c r="Q586" s="272">
        <v>3.3036548264509358E-2</v>
      </c>
    </row>
    <row r="587" spans="2:17" s="101" customFormat="1" x14ac:dyDescent="0.25">
      <c r="B587" s="271" t="s">
        <v>1467</v>
      </c>
      <c r="D587" s="272">
        <v>-9.1841267310630789E-2</v>
      </c>
      <c r="E587" s="272">
        <v>-8.8427296541287198E-2</v>
      </c>
      <c r="F587" s="272">
        <v>-0.27346708709570744</v>
      </c>
      <c r="G587" s="272">
        <v>-4.4512115293441637E-2</v>
      </c>
      <c r="H587" s="272">
        <v>-1.3085180220240789E-2</v>
      </c>
      <c r="I587" s="272">
        <v>1.0461458995451704E-2</v>
      </c>
      <c r="J587" s="272">
        <v>3.2983396895878196E-2</v>
      </c>
      <c r="K587" s="272">
        <v>5.3575588469101439E-2</v>
      </c>
      <c r="L587" s="272">
        <v>5.3768477286834725E-2</v>
      </c>
      <c r="M587" s="272">
        <v>5.3917211198578403E-2</v>
      </c>
      <c r="N587" s="272">
        <v>5.401316527172699E-2</v>
      </c>
      <c r="O587" s="272">
        <v>5.4040130250858444E-2</v>
      </c>
      <c r="P587" s="272">
        <v>5.4003417630758471E-2</v>
      </c>
      <c r="Q587" s="272">
        <v>5.3964898292342404E-2</v>
      </c>
    </row>
    <row r="588" spans="2:17" s="101" customFormat="1" x14ac:dyDescent="0.25">
      <c r="B588" s="271" t="s">
        <v>1470</v>
      </c>
      <c r="D588" s="272">
        <v>-9.1841267310630789E-2</v>
      </c>
      <c r="E588" s="272">
        <v>-8.8427296541287198E-2</v>
      </c>
      <c r="F588" s="272">
        <v>-0.27346708709570744</v>
      </c>
      <c r="G588" s="272">
        <v>-4.4512115293441637E-2</v>
      </c>
      <c r="H588" s="272">
        <v>-1.3085180220240789E-2</v>
      </c>
      <c r="I588" s="272">
        <v>6.7999483470436084E-3</v>
      </c>
      <c r="J588" s="272">
        <v>2.1439207982320827E-2</v>
      </c>
      <c r="K588" s="272">
        <v>3.4824132504915936E-2</v>
      </c>
      <c r="L588" s="272">
        <v>3.494951023644257E-2</v>
      </c>
      <c r="M588" s="272">
        <v>3.5046187279075963E-2</v>
      </c>
      <c r="N588" s="272">
        <v>3.5108557426622548E-2</v>
      </c>
      <c r="O588" s="272">
        <v>3.5126084663057992E-2</v>
      </c>
      <c r="P588" s="272">
        <v>3.5102221459993012E-2</v>
      </c>
      <c r="Q588" s="272">
        <v>3.5077183890022567E-2</v>
      </c>
    </row>
    <row r="589" spans="2:17" s="9" customFormat="1" x14ac:dyDescent="0.25">
      <c r="B589" s="270"/>
      <c r="D589" s="269"/>
      <c r="E589" s="269"/>
      <c r="F589" s="269"/>
      <c r="G589" s="269"/>
      <c r="H589" s="269"/>
      <c r="I589" s="269"/>
      <c r="J589" s="269"/>
      <c r="K589" s="269"/>
      <c r="L589" s="269"/>
      <c r="M589" s="269"/>
      <c r="N589" s="269"/>
      <c r="O589" s="269"/>
      <c r="P589" s="269"/>
      <c r="Q589" s="269"/>
    </row>
    <row r="590" spans="2:17" s="9" customFormat="1" x14ac:dyDescent="0.25">
      <c r="B590" s="270"/>
      <c r="D590" s="269"/>
      <c r="E590" s="269"/>
      <c r="F590" s="269"/>
      <c r="G590" s="269"/>
      <c r="H590" s="269"/>
      <c r="I590" s="269"/>
      <c r="J590" s="269"/>
      <c r="K590" s="269"/>
      <c r="L590" s="269"/>
      <c r="M590" s="269"/>
      <c r="N590" s="269"/>
      <c r="O590" s="269"/>
      <c r="P590" s="269"/>
      <c r="Q590" s="269"/>
    </row>
    <row r="591" spans="2:17" s="9" customFormat="1" x14ac:dyDescent="0.25">
      <c r="B591" s="130"/>
    </row>
    <row r="592" spans="2:17" s="9" customFormat="1" x14ac:dyDescent="0.25"/>
    <row r="593" s="9" customFormat="1" x14ac:dyDescent="0.25"/>
    <row r="594" s="9" customFormat="1" x14ac:dyDescent="0.25"/>
    <row r="595" s="9" customFormat="1" x14ac:dyDescent="0.25"/>
    <row r="596" s="9" customFormat="1" x14ac:dyDescent="0.25"/>
    <row r="597" s="9" customFormat="1" x14ac:dyDescent="0.25"/>
    <row r="598" s="9" customFormat="1" x14ac:dyDescent="0.25"/>
    <row r="599" s="9" customFormat="1" x14ac:dyDescent="0.25"/>
    <row r="600" s="9" customFormat="1" x14ac:dyDescent="0.25"/>
    <row r="601" s="9" customFormat="1" x14ac:dyDescent="0.25"/>
    <row r="602" s="9" customFormat="1" x14ac:dyDescent="0.25"/>
    <row r="603" s="9" customFormat="1" x14ac:dyDescent="0.25"/>
    <row r="604" s="9" customFormat="1" x14ac:dyDescent="0.25"/>
    <row r="605" s="9" customFormat="1" x14ac:dyDescent="0.25"/>
    <row r="606" s="9" customFormat="1" x14ac:dyDescent="0.25"/>
    <row r="607" s="9" customFormat="1" x14ac:dyDescent="0.25"/>
    <row r="608" s="9" customFormat="1" x14ac:dyDescent="0.25"/>
    <row r="609" s="9" customFormat="1" x14ac:dyDescent="0.25"/>
    <row r="610" s="9" customFormat="1" x14ac:dyDescent="0.25"/>
    <row r="611" s="9" customFormat="1" x14ac:dyDescent="0.25"/>
    <row r="612" s="9" customFormat="1" x14ac:dyDescent="0.25"/>
    <row r="613" s="9" customFormat="1" x14ac:dyDescent="0.25"/>
    <row r="614" s="9" customFormat="1" x14ac:dyDescent="0.25"/>
    <row r="615" s="9" customFormat="1" x14ac:dyDescent="0.25"/>
    <row r="616" s="9" customFormat="1" x14ac:dyDescent="0.25"/>
    <row r="617" s="9" customFormat="1" x14ac:dyDescent="0.25"/>
    <row r="618" s="9" customFormat="1" x14ac:dyDescent="0.25"/>
    <row r="619" s="9" customFormat="1" x14ac:dyDescent="0.25"/>
    <row r="620" s="9" customFormat="1" x14ac:dyDescent="0.25"/>
    <row r="621" s="9" customFormat="1" x14ac:dyDescent="0.25"/>
    <row r="622" s="9" customFormat="1" x14ac:dyDescent="0.25"/>
    <row r="623" s="9" customFormat="1" x14ac:dyDescent="0.25"/>
    <row r="624" s="9" customFormat="1" x14ac:dyDescent="0.25"/>
    <row r="625" s="9" customFormat="1" x14ac:dyDescent="0.25"/>
    <row r="626" s="9" customFormat="1" x14ac:dyDescent="0.25"/>
    <row r="627" s="9" customFormat="1" x14ac:dyDescent="0.25"/>
    <row r="628" s="9" customFormat="1" x14ac:dyDescent="0.25"/>
    <row r="629" s="9" customFormat="1" x14ac:dyDescent="0.25"/>
    <row r="630" s="9" customFormat="1" x14ac:dyDescent="0.25"/>
    <row r="631" s="9" customFormat="1" x14ac:dyDescent="0.25"/>
    <row r="632" s="9" customFormat="1" x14ac:dyDescent="0.25"/>
    <row r="633" s="9" customFormat="1" x14ac:dyDescent="0.25"/>
    <row r="634" s="9" customFormat="1" x14ac:dyDescent="0.25"/>
    <row r="635" s="9" customFormat="1" x14ac:dyDescent="0.25"/>
    <row r="636" s="9" customFormat="1" x14ac:dyDescent="0.25"/>
    <row r="637" s="9" customFormat="1" x14ac:dyDescent="0.25"/>
    <row r="638" s="9" customFormat="1" x14ac:dyDescent="0.25"/>
    <row r="639" s="9" customFormat="1" x14ac:dyDescent="0.25"/>
    <row r="640" s="9" customFormat="1" x14ac:dyDescent="0.25"/>
    <row r="641" s="9" customFormat="1" x14ac:dyDescent="0.25"/>
    <row r="642" s="9" customFormat="1" x14ac:dyDescent="0.25"/>
    <row r="643" s="9" customFormat="1" x14ac:dyDescent="0.25"/>
    <row r="644" s="9" customFormat="1" x14ac:dyDescent="0.25"/>
    <row r="645" s="9" customFormat="1" x14ac:dyDescent="0.25"/>
    <row r="646" s="9" customFormat="1" x14ac:dyDescent="0.25"/>
    <row r="647" s="9" customFormat="1" x14ac:dyDescent="0.25"/>
    <row r="648" s="9" customFormat="1" x14ac:dyDescent="0.25"/>
    <row r="649" s="9" customFormat="1" x14ac:dyDescent="0.25"/>
    <row r="650" s="9" customFormat="1" x14ac:dyDescent="0.25"/>
    <row r="651" s="9" customFormat="1" x14ac:dyDescent="0.25"/>
    <row r="652" s="9" customFormat="1" x14ac:dyDescent="0.25"/>
    <row r="653" s="9" customFormat="1" x14ac:dyDescent="0.25"/>
    <row r="654" s="9" customFormat="1" x14ac:dyDescent="0.25"/>
    <row r="655" s="9" customFormat="1" x14ac:dyDescent="0.25"/>
    <row r="656" s="9" customFormat="1" x14ac:dyDescent="0.25"/>
    <row r="657" s="9" customFormat="1" x14ac:dyDescent="0.25"/>
    <row r="658" s="9" customFormat="1" x14ac:dyDescent="0.25"/>
    <row r="659" s="9" customFormat="1" x14ac:dyDescent="0.25"/>
    <row r="660" s="9" customFormat="1" x14ac:dyDescent="0.25"/>
    <row r="661" s="9" customFormat="1" x14ac:dyDescent="0.25"/>
    <row r="662" s="9" customFormat="1" x14ac:dyDescent="0.25"/>
    <row r="663" s="9" customFormat="1" x14ac:dyDescent="0.25"/>
    <row r="664" s="9" customFormat="1" x14ac:dyDescent="0.25"/>
    <row r="665" s="9" customFormat="1" x14ac:dyDescent="0.25"/>
    <row r="666" s="9" customFormat="1" x14ac:dyDescent="0.25"/>
    <row r="667" s="9" customFormat="1" x14ac:dyDescent="0.25"/>
    <row r="668" s="9" customFormat="1" x14ac:dyDescent="0.25"/>
    <row r="669" s="9" customFormat="1" x14ac:dyDescent="0.25"/>
    <row r="670" s="9" customFormat="1" x14ac:dyDescent="0.25"/>
    <row r="671" s="9" customFormat="1" x14ac:dyDescent="0.25"/>
    <row r="672" s="9" customFormat="1" x14ac:dyDescent="0.25"/>
    <row r="673" spans="2:17" s="9" customFormat="1" x14ac:dyDescent="0.25"/>
    <row r="674" spans="2:17" s="9" customFormat="1" x14ac:dyDescent="0.25"/>
    <row r="675" spans="2:17" s="9" customFormat="1" x14ac:dyDescent="0.25"/>
    <row r="676" spans="2:17" s="9" customFormat="1" x14ac:dyDescent="0.25"/>
    <row r="677" spans="2:17" s="9" customFormat="1" x14ac:dyDescent="0.25"/>
    <row r="678" spans="2:17" s="9" customFormat="1" x14ac:dyDescent="0.25"/>
    <row r="679" spans="2:17" s="9" customFormat="1" x14ac:dyDescent="0.25"/>
    <row r="680" spans="2:17" s="9" customFormat="1" x14ac:dyDescent="0.25"/>
    <row r="681" spans="2:17" s="9" customFormat="1" x14ac:dyDescent="0.25"/>
    <row r="682" spans="2:17" s="9" customFormat="1" x14ac:dyDescent="0.25"/>
    <row r="683" spans="2:17" s="9" customFormat="1" x14ac:dyDescent="0.25"/>
    <row r="684" spans="2:17" s="16" customFormat="1" x14ac:dyDescent="0.25">
      <c r="B684" s="17" t="s">
        <v>1343</v>
      </c>
      <c r="C684" s="17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</row>
    <row r="685" spans="2:17" s="9" customFormat="1" x14ac:dyDescent="0.25"/>
    <row r="686" spans="2:17" s="9" customFormat="1" x14ac:dyDescent="0.25">
      <c r="F686" s="250" t="s">
        <v>1101</v>
      </c>
      <c r="G686" s="250" t="s">
        <v>1102</v>
      </c>
      <c r="H686" s="250" t="s">
        <v>1103</v>
      </c>
      <c r="I686" s="250" t="s">
        <v>1104</v>
      </c>
      <c r="J686" s="250" t="s">
        <v>1105</v>
      </c>
      <c r="K686" s="250" t="s">
        <v>1106</v>
      </c>
      <c r="L686" s="250" t="s">
        <v>1107</v>
      </c>
      <c r="M686" s="250" t="s">
        <v>1108</v>
      </c>
      <c r="N686" s="250" t="s">
        <v>1346</v>
      </c>
      <c r="O686" s="250" t="s">
        <v>1347</v>
      </c>
      <c r="P686" s="250" t="s">
        <v>1348</v>
      </c>
      <c r="Q686" s="250" t="s">
        <v>1349</v>
      </c>
    </row>
    <row r="687" spans="2:17" s="9" customFormat="1" x14ac:dyDescent="0.25">
      <c r="B687" s="9" t="s">
        <v>1344</v>
      </c>
      <c r="C687" s="9" t="s">
        <v>1374</v>
      </c>
      <c r="F687" s="1">
        <v>1692712.85</v>
      </c>
      <c r="G687" s="1">
        <v>1701176</v>
      </c>
      <c r="H687" s="1">
        <v>1709682</v>
      </c>
      <c r="I687" s="1">
        <v>1718230</v>
      </c>
      <c r="J687" s="1">
        <v>1726821</v>
      </c>
      <c r="K687" s="1">
        <v>1735455</v>
      </c>
      <c r="L687" s="1">
        <v>1744132</v>
      </c>
      <c r="M687" s="1">
        <v>1752853</v>
      </c>
      <c r="N687" s="1">
        <v>1761617</v>
      </c>
      <c r="O687" s="1">
        <v>1770425</v>
      </c>
      <c r="P687" s="1">
        <v>1779277</v>
      </c>
      <c r="Q687" s="1">
        <v>1788173</v>
      </c>
    </row>
    <row r="688" spans="2:17" s="9" customFormat="1" x14ac:dyDescent="0.25">
      <c r="B688" s="9" t="s">
        <v>1345</v>
      </c>
      <c r="C688" s="9" t="s">
        <v>5</v>
      </c>
      <c r="F688" s="1">
        <v>808453.67999717139</v>
      </c>
      <c r="G688" s="1">
        <v>820318.19673088763</v>
      </c>
      <c r="H688" s="1">
        <v>849029.33361646859</v>
      </c>
      <c r="I688" s="1">
        <v>878745.36029304506</v>
      </c>
      <c r="J688" s="1">
        <v>909501.44790330145</v>
      </c>
      <c r="K688" s="1">
        <v>941333.99857991689</v>
      </c>
      <c r="L688" s="1">
        <v>974280.68853021413</v>
      </c>
      <c r="M688" s="1">
        <v>1008380.5126287711</v>
      </c>
      <c r="N688" s="1">
        <v>1043673.8305707783</v>
      </c>
      <c r="O688" s="1">
        <v>1080202.4146407554</v>
      </c>
      <c r="P688" s="1">
        <v>1118009.4991531819</v>
      </c>
      <c r="Q688" s="1">
        <v>1157139.8316235433</v>
      </c>
    </row>
    <row r="689" spans="2:17" s="9" customFormat="1" x14ac:dyDescent="0.25">
      <c r="B689" s="9" t="s">
        <v>1373</v>
      </c>
      <c r="C689" s="9" t="s">
        <v>5</v>
      </c>
      <c r="F689" s="1">
        <v>853313.97162135318</v>
      </c>
      <c r="G689" s="1">
        <v>865836.83860298526</v>
      </c>
      <c r="H689" s="1">
        <v>896141.12795408966</v>
      </c>
      <c r="I689" s="1">
        <v>927506.06743248273</v>
      </c>
      <c r="J689" s="1">
        <v>959968.77979261952</v>
      </c>
      <c r="K689" s="1">
        <v>993567.6870853611</v>
      </c>
      <c r="L689" s="1">
        <v>1028342.5561333488</v>
      </c>
      <c r="M689" s="1">
        <v>1064334.5455980157</v>
      </c>
      <c r="N689" s="1">
        <v>1101586.2546939463</v>
      </c>
      <c r="O689" s="1">
        <v>1140141.7736082342</v>
      </c>
      <c r="P689" s="1">
        <v>1180046.7356845224</v>
      </c>
      <c r="Q689" s="1">
        <v>1221348.3714334806</v>
      </c>
    </row>
    <row r="690" spans="2:17" s="9" customFormat="1" x14ac:dyDescent="0.25"/>
    <row r="691" spans="2:17" s="9" customFormat="1" x14ac:dyDescent="0.25"/>
    <row r="692" spans="2:17" s="9" customFormat="1" x14ac:dyDescent="0.25"/>
    <row r="693" spans="2:17" s="9" customFormat="1" x14ac:dyDescent="0.25"/>
    <row r="694" spans="2:17" s="9" customFormat="1" x14ac:dyDescent="0.25"/>
    <row r="695" spans="2:17" s="9" customFormat="1" x14ac:dyDescent="0.25"/>
    <row r="696" spans="2:17" s="9" customFormat="1" x14ac:dyDescent="0.25"/>
    <row r="697" spans="2:17" s="9" customFormat="1" x14ac:dyDescent="0.25"/>
    <row r="698" spans="2:17" s="9" customFormat="1" x14ac:dyDescent="0.25"/>
    <row r="699" spans="2:17" s="9" customFormat="1" x14ac:dyDescent="0.25"/>
    <row r="700" spans="2:17" s="9" customFormat="1" x14ac:dyDescent="0.25"/>
    <row r="701" spans="2:17" s="9" customFormat="1" x14ac:dyDescent="0.25"/>
    <row r="702" spans="2:17" s="9" customFormat="1" x14ac:dyDescent="0.25"/>
    <row r="703" spans="2:17" s="9" customFormat="1" x14ac:dyDescent="0.25"/>
    <row r="704" spans="2:17" s="9" customFormat="1" x14ac:dyDescent="0.25"/>
    <row r="705" spans="2:17" s="9" customFormat="1" x14ac:dyDescent="0.25"/>
    <row r="706" spans="2:17" s="9" customFormat="1" x14ac:dyDescent="0.25"/>
    <row r="707" spans="2:17" s="9" customFormat="1" x14ac:dyDescent="0.25">
      <c r="B707" s="9" t="s">
        <v>1376</v>
      </c>
      <c r="G707" s="9">
        <v>1472940849747.272</v>
      </c>
      <c r="H707" s="9">
        <v>1532116355922.804</v>
      </c>
      <c r="I707" s="9">
        <v>1593668750244.5151</v>
      </c>
      <c r="J707" s="9">
        <v>1657694248290.271</v>
      </c>
      <c r="K707" s="9">
        <v>1724292010390.7253</v>
      </c>
      <c r="L707" s="9">
        <v>1793565159113.97</v>
      </c>
      <c r="M707" s="9">
        <v>1865622001255.1182</v>
      </c>
      <c r="N707" s="9">
        <v>1940573073235.1858</v>
      </c>
      <c r="O707" s="9">
        <v>2018535499540.3579</v>
      </c>
      <c r="P707" s="9">
        <v>2099630015728.5498</v>
      </c>
      <c r="Q707" s="9">
        <v>2183982181391.3215</v>
      </c>
    </row>
    <row r="708" spans="2:17" s="9" customFormat="1" x14ac:dyDescent="0.25">
      <c r="B708" s="9" t="s">
        <v>1375</v>
      </c>
      <c r="G708" s="9">
        <v>1503030617912.1404</v>
      </c>
      <c r="H708" s="9">
        <v>1516762149326.1311</v>
      </c>
      <c r="I708" s="9">
        <v>1545725289910.6943</v>
      </c>
      <c r="J708" s="9">
        <v>1575502368598.7061</v>
      </c>
      <c r="K708" s="9">
        <v>1603403065986.6267</v>
      </c>
      <c r="L708" s="9">
        <v>1667819521194.9468</v>
      </c>
      <c r="M708" s="9">
        <v>1734824506961.9751</v>
      </c>
      <c r="N708" s="9">
        <v>1804520810075.1541</v>
      </c>
      <c r="O708" s="9">
        <v>1877017343502.3103</v>
      </c>
      <c r="P708" s="9">
        <v>1952426378113.2083</v>
      </c>
      <c r="Q708" s="9">
        <v>2030864670601.5276</v>
      </c>
    </row>
    <row r="709" spans="2:17" s="9" customFormat="1" x14ac:dyDescent="0.25">
      <c r="B709" s="9" t="s">
        <v>1457</v>
      </c>
      <c r="G709" s="9">
        <v>1472940849747.272</v>
      </c>
      <c r="H709" s="9">
        <v>1480305657896.429</v>
      </c>
      <c r="I709" s="9">
        <v>1487706831192.8076</v>
      </c>
      <c r="J709" s="9">
        <v>1495145235473.2456</v>
      </c>
      <c r="K709" s="9">
        <v>1502620870737.7437</v>
      </c>
      <c r="L709" s="9">
        <v>1510133736986.302</v>
      </c>
      <c r="M709" s="9">
        <v>1517684700055.7581</v>
      </c>
      <c r="N709" s="9">
        <v>1525272894109.2754</v>
      </c>
      <c r="O709" s="9">
        <v>1532899184983.6899</v>
      </c>
      <c r="P709" s="9">
        <v>1540563572679.0037</v>
      </c>
      <c r="Q709" s="9">
        <v>1548266057195.2161</v>
      </c>
    </row>
    <row r="710" spans="2:17" s="9" customFormat="1" x14ac:dyDescent="0.25">
      <c r="B710" s="9" t="s">
        <v>1458</v>
      </c>
      <c r="G710" s="9">
        <v>1503030617912.1404</v>
      </c>
      <c r="H710" s="9">
        <v>1465470675677.4214</v>
      </c>
      <c r="I710" s="9">
        <v>1442951097958.5938</v>
      </c>
      <c r="J710" s="9">
        <v>1421012869120.2949</v>
      </c>
      <c r="K710" s="9">
        <v>1397273139722.1069</v>
      </c>
      <c r="L710" s="9">
        <v>1404259284008.9768</v>
      </c>
      <c r="M710" s="9">
        <v>1411280854174.4465</v>
      </c>
      <c r="N710" s="9">
        <v>1418337045084.9141</v>
      </c>
      <c r="O710" s="9">
        <v>1425428661873.9819</v>
      </c>
      <c r="P710" s="9">
        <v>1432555704541.6516</v>
      </c>
      <c r="Q710" s="9">
        <v>1439718173087.9221</v>
      </c>
    </row>
    <row r="711" spans="2:17" x14ac:dyDescent="0.25"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</row>
    <row r="712" spans="2:17" x14ac:dyDescent="0.25"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</row>
    <row r="713" spans="2:17" x14ac:dyDescent="0.25"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</row>
    <row r="714" spans="2:17" x14ac:dyDescent="0.25"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</row>
    <row r="715" spans="2:17" x14ac:dyDescent="0.25"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</row>
    <row r="716" spans="2:17" x14ac:dyDescent="0.25"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</row>
    <row r="717" spans="2:17" x14ac:dyDescent="0.25"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</row>
    <row r="718" spans="2:17" x14ac:dyDescent="0.25"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</row>
    <row r="719" spans="2:17" x14ac:dyDescent="0.25"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</row>
    <row r="720" spans="2:17" x14ac:dyDescent="0.25"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</row>
    <row r="721" spans="2:17" x14ac:dyDescent="0.25"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</row>
    <row r="722" spans="2:17" x14ac:dyDescent="0.25"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</row>
    <row r="723" spans="2:17" x14ac:dyDescent="0.25"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</row>
    <row r="724" spans="2:17" x14ac:dyDescent="0.25"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</row>
    <row r="725" spans="2:17" x14ac:dyDescent="0.25"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</row>
    <row r="726" spans="2:17" x14ac:dyDescent="0.25"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</row>
    <row r="727" spans="2:17" x14ac:dyDescent="0.25"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</row>
    <row r="728" spans="2:17" x14ac:dyDescent="0.25">
      <c r="C728" s="265" t="s">
        <v>1324</v>
      </c>
      <c r="D728" s="266" t="s">
        <v>1325</v>
      </c>
      <c r="E728" s="267" t="s">
        <v>1517</v>
      </c>
      <c r="F728" s="266" t="s">
        <v>1448</v>
      </c>
      <c r="G728" s="266" t="s">
        <v>1519</v>
      </c>
      <c r="H728" s="266" t="s">
        <v>1358</v>
      </c>
      <c r="I728" s="266" t="s">
        <v>1518</v>
      </c>
      <c r="J728" s="266" t="s">
        <v>35</v>
      </c>
      <c r="K728" s="266" t="s">
        <v>1520</v>
      </c>
      <c r="L728" s="9"/>
      <c r="M728" s="9"/>
      <c r="N728" s="9"/>
      <c r="O728" s="9"/>
      <c r="P728" s="9"/>
      <c r="Q728" s="9"/>
    </row>
    <row r="729" spans="2:17" s="9" customFormat="1" x14ac:dyDescent="0.25">
      <c r="B729" s="267" t="s">
        <v>1443</v>
      </c>
      <c r="D729" s="9">
        <v>233201900283.26968</v>
      </c>
      <c r="F729" s="9">
        <v>123742733118.92102</v>
      </c>
      <c r="H729" s="9">
        <v>123742733118.92102</v>
      </c>
      <c r="J729" s="9">
        <v>357618520706.92102</v>
      </c>
    </row>
    <row r="730" spans="2:17" s="9" customFormat="1" x14ac:dyDescent="0.25">
      <c r="B730" s="267" t="s">
        <v>1324</v>
      </c>
      <c r="C730" s="9">
        <v>233201900283.26968</v>
      </c>
    </row>
    <row r="731" spans="2:17" s="9" customFormat="1" x14ac:dyDescent="0.25">
      <c r="B731" s="267" t="s">
        <v>1325</v>
      </c>
      <c r="D731" s="9">
        <v>129325306041.94296</v>
      </c>
    </row>
    <row r="732" spans="2:17" s="9" customFormat="1" x14ac:dyDescent="0.25">
      <c r="B732" s="267" t="s">
        <v>1517</v>
      </c>
      <c r="E732" s="9">
        <v>362527206325.21265</v>
      </c>
    </row>
    <row r="733" spans="2:17" s="9" customFormat="1" x14ac:dyDescent="0.25">
      <c r="B733" s="267" t="s">
        <v>1444</v>
      </c>
      <c r="F733" s="9">
        <v>238784473206.29163</v>
      </c>
    </row>
    <row r="734" spans="2:17" s="9" customFormat="1" x14ac:dyDescent="0.25">
      <c r="B734" s="267" t="s">
        <v>1445</v>
      </c>
      <c r="G734" s="9">
        <v>123742733118.92102</v>
      </c>
    </row>
    <row r="735" spans="2:17" s="9" customFormat="1" x14ac:dyDescent="0.25">
      <c r="B735" s="267" t="s">
        <v>1358</v>
      </c>
      <c r="H735" s="9">
        <v>233875787588</v>
      </c>
    </row>
    <row r="736" spans="2:17" s="9" customFormat="1" x14ac:dyDescent="0.25">
      <c r="B736" s="267" t="s">
        <v>1446</v>
      </c>
      <c r="I736" s="9">
        <v>357618520706.92102</v>
      </c>
    </row>
    <row r="737" spans="2:17" s="9" customFormat="1" x14ac:dyDescent="0.25">
      <c r="B737" s="267" t="s">
        <v>35</v>
      </c>
      <c r="J737" s="9">
        <v>450000000000</v>
      </c>
    </row>
    <row r="738" spans="2:17" s="9" customFormat="1" x14ac:dyDescent="0.25">
      <c r="B738" s="267" t="s">
        <v>1447</v>
      </c>
      <c r="K738" s="9">
        <v>807618520706.92102</v>
      </c>
    </row>
    <row r="739" spans="2:17" x14ac:dyDescent="0.25"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</row>
    <row r="789" spans="2:17" x14ac:dyDescent="0.25">
      <c r="C789" s="265" t="s">
        <v>1324</v>
      </c>
      <c r="D789" s="266" t="s">
        <v>1325</v>
      </c>
      <c r="E789" s="267" t="s">
        <v>1517</v>
      </c>
      <c r="F789" s="266" t="s">
        <v>1448</v>
      </c>
      <c r="G789" s="266" t="s">
        <v>1519</v>
      </c>
      <c r="H789" s="266" t="s">
        <v>1358</v>
      </c>
      <c r="I789" s="266" t="s">
        <v>1518</v>
      </c>
      <c r="J789" s="266" t="s">
        <v>35</v>
      </c>
      <c r="K789" s="266" t="s">
        <v>1520</v>
      </c>
      <c r="L789" s="9"/>
      <c r="M789" s="9"/>
      <c r="N789" s="9"/>
      <c r="O789" s="9"/>
      <c r="P789" s="9"/>
      <c r="Q789" s="9"/>
    </row>
    <row r="790" spans="2:17" s="9" customFormat="1" x14ac:dyDescent="0.25">
      <c r="B790" s="267" t="s">
        <v>1443</v>
      </c>
      <c r="D790" s="9">
        <v>233201900283.26968</v>
      </c>
      <c r="F790" s="9">
        <v>362527206325.21265</v>
      </c>
      <c r="H790" s="9">
        <v>123742733118.92102</v>
      </c>
      <c r="J790" s="9">
        <v>357618520706.92102</v>
      </c>
    </row>
    <row r="791" spans="2:17" s="9" customFormat="1" x14ac:dyDescent="0.25">
      <c r="B791" s="267" t="s">
        <v>1324</v>
      </c>
      <c r="C791" s="9">
        <v>233201900283.26968</v>
      </c>
    </row>
    <row r="792" spans="2:17" s="9" customFormat="1" x14ac:dyDescent="0.25">
      <c r="B792" s="267" t="s">
        <v>1325</v>
      </c>
      <c r="D792" s="9">
        <v>129325306041.94296</v>
      </c>
    </row>
    <row r="793" spans="2:17" s="9" customFormat="1" x14ac:dyDescent="0.25">
      <c r="B793" s="267" t="s">
        <v>1517</v>
      </c>
      <c r="E793" s="9">
        <v>362527206325.21265</v>
      </c>
    </row>
    <row r="794" spans="2:17" s="9" customFormat="1" x14ac:dyDescent="0.25">
      <c r="B794" s="267" t="s">
        <v>1444</v>
      </c>
      <c r="F794" s="9">
        <v>-238784473206.29163</v>
      </c>
    </row>
    <row r="795" spans="2:17" s="9" customFormat="1" x14ac:dyDescent="0.25">
      <c r="B795" s="267" t="s">
        <v>1445</v>
      </c>
      <c r="G795" s="9">
        <v>123742733118.92102</v>
      </c>
    </row>
    <row r="796" spans="2:17" s="9" customFormat="1" x14ac:dyDescent="0.25">
      <c r="B796" s="267" t="s">
        <v>1358</v>
      </c>
      <c r="H796" s="9">
        <v>233875787588</v>
      </c>
    </row>
    <row r="797" spans="2:17" s="9" customFormat="1" x14ac:dyDescent="0.25">
      <c r="B797" s="267" t="s">
        <v>1446</v>
      </c>
      <c r="I797" s="9">
        <v>357618520706.92102</v>
      </c>
    </row>
    <row r="798" spans="2:17" s="9" customFormat="1" x14ac:dyDescent="0.25">
      <c r="B798" s="267" t="s">
        <v>35</v>
      </c>
      <c r="J798" s="9">
        <v>-3.6759642065525844E-3</v>
      </c>
    </row>
    <row r="799" spans="2:17" s="9" customFormat="1" x14ac:dyDescent="0.25">
      <c r="B799" s="267" t="s">
        <v>1447</v>
      </c>
      <c r="K799" s="9">
        <v>357618520706.91736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scale="70" orientation="landscape" r:id="rId1"/>
  <headerFooter>
    <oddFooter>&amp;LInformación Confidencial&amp;RElaborado por Crowe Horwath</oddFooter>
  </headerFooter>
  <rowBreaks count="5" manualBreakCount="5">
    <brk id="34" min="1" max="12" man="1"/>
    <brk id="59" max="16383" man="1"/>
    <brk id="100" min="1" max="12" man="1"/>
    <brk id="121" max="16383" man="1"/>
    <brk id="151" min="1" max="1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R60"/>
  <sheetViews>
    <sheetView topLeftCell="A37" workbookViewId="0">
      <selection activeCell="O186" sqref="O186:Q189"/>
    </sheetView>
  </sheetViews>
  <sheetFormatPr baseColWidth="10" defaultColWidth="11.42578125" defaultRowHeight="15" x14ac:dyDescent="0.25"/>
  <cols>
    <col min="2" max="2" width="6.42578125" customWidth="1"/>
    <col min="3" max="3" width="15.85546875" customWidth="1"/>
    <col min="4" max="4" width="30" customWidth="1"/>
    <col min="7" max="7" width="12" bestFit="1" customWidth="1"/>
    <col min="9" max="9" width="11.42578125" style="248"/>
    <col min="10" max="10" width="11.42578125" style="1"/>
    <col min="11" max="11" width="7.85546875" customWidth="1"/>
    <col min="12" max="12" width="14.28515625" customWidth="1"/>
    <col min="13" max="13" width="13.85546875" customWidth="1"/>
    <col min="16" max="16" width="9.42578125" customWidth="1"/>
    <col min="17" max="17" width="8.42578125" customWidth="1"/>
  </cols>
  <sheetData>
    <row r="2" spans="2:10" x14ac:dyDescent="0.25">
      <c r="F2" s="9">
        <f>+'Panel de control'!H75</f>
        <v>338572248970.29053</v>
      </c>
      <c r="H2" t="s">
        <v>1536</v>
      </c>
      <c r="I2" s="306">
        <f>+PRY!G555</f>
        <v>0.65</v>
      </c>
    </row>
    <row r="3" spans="2:10" x14ac:dyDescent="0.25">
      <c r="F3" s="1">
        <f>+'Panel de control'!E78</f>
        <v>4136395.555029694</v>
      </c>
      <c r="G3" s="308">
        <f>MIN(PRY!F604:Q604)</f>
        <v>2028</v>
      </c>
      <c r="H3" t="s">
        <v>1537</v>
      </c>
      <c r="I3" s="306">
        <f>+PRY!G556</f>
        <v>0.25</v>
      </c>
    </row>
    <row r="5" spans="2:10" s="305" customFormat="1" ht="30" x14ac:dyDescent="0.25">
      <c r="B5" s="309" t="s">
        <v>1545</v>
      </c>
      <c r="C5" s="309" t="s">
        <v>1360</v>
      </c>
      <c r="D5" s="309" t="s">
        <v>1530</v>
      </c>
      <c r="E5" s="500" t="s">
        <v>1531</v>
      </c>
      <c r="F5" s="500"/>
      <c r="G5" s="309" t="s">
        <v>1534</v>
      </c>
      <c r="H5" s="500" t="s">
        <v>1535</v>
      </c>
      <c r="I5" s="500"/>
      <c r="J5" s="284"/>
    </row>
    <row r="6" spans="2:10" x14ac:dyDescent="0.25">
      <c r="B6" s="496" t="s">
        <v>1546</v>
      </c>
      <c r="C6" s="496" t="s">
        <v>1540</v>
      </c>
      <c r="D6" s="501"/>
      <c r="E6" s="164" t="s">
        <v>1532</v>
      </c>
      <c r="F6" s="310" t="s">
        <v>1538</v>
      </c>
      <c r="G6" s="496" t="s">
        <v>1539</v>
      </c>
      <c r="H6" s="164" t="s">
        <v>1536</v>
      </c>
      <c r="I6" s="311">
        <f>100%-I7</f>
        <v>0.73299999999999998</v>
      </c>
    </row>
    <row r="7" spans="2:10" x14ac:dyDescent="0.25">
      <c r="B7" s="496"/>
      <c r="C7" s="496"/>
      <c r="D7" s="501"/>
      <c r="E7" s="164" t="s">
        <v>1533</v>
      </c>
      <c r="F7" s="310" t="s">
        <v>1538</v>
      </c>
      <c r="G7" s="496"/>
      <c r="H7" s="164" t="s">
        <v>1537</v>
      </c>
      <c r="I7" s="311">
        <v>0.26700000000000002</v>
      </c>
    </row>
    <row r="8" spans="2:10" ht="30.75" customHeight="1" x14ac:dyDescent="0.25">
      <c r="B8" s="496" t="s">
        <v>1547</v>
      </c>
      <c r="C8" s="496" t="s">
        <v>1541</v>
      </c>
      <c r="D8" s="497" t="s">
        <v>1542</v>
      </c>
      <c r="E8" s="312" t="s">
        <v>1562</v>
      </c>
      <c r="F8" s="313">
        <v>106938278659.63361</v>
      </c>
      <c r="G8" s="497" t="s">
        <v>1539</v>
      </c>
      <c r="H8" s="314" t="s">
        <v>1536</v>
      </c>
      <c r="I8" s="315">
        <f>100%-I9</f>
        <v>0.73299999999999998</v>
      </c>
    </row>
    <row r="9" spans="2:10" ht="30.75" customHeight="1" x14ac:dyDescent="0.25">
      <c r="B9" s="496"/>
      <c r="C9" s="496"/>
      <c r="D9" s="497"/>
      <c r="E9" s="312" t="s">
        <v>1563</v>
      </c>
      <c r="F9" s="316">
        <v>1306483.3927043153</v>
      </c>
      <c r="G9" s="497"/>
      <c r="H9" s="314" t="s">
        <v>1537</v>
      </c>
      <c r="I9" s="315">
        <v>0.26700000000000002</v>
      </c>
      <c r="J9" s="1">
        <f>+F8/F9</f>
        <v>81852</v>
      </c>
    </row>
    <row r="10" spans="2:10" ht="30.75" customHeight="1" x14ac:dyDescent="0.25">
      <c r="B10" s="496" t="s">
        <v>1548</v>
      </c>
      <c r="C10" s="496"/>
      <c r="D10" s="496" t="s">
        <v>1543</v>
      </c>
      <c r="E10" s="317" t="s">
        <v>1562</v>
      </c>
      <c r="F10" s="199">
        <v>135645925316.01672</v>
      </c>
      <c r="G10" s="496" t="s">
        <v>1539</v>
      </c>
      <c r="H10" s="318" t="s">
        <v>1536</v>
      </c>
      <c r="I10" s="311">
        <f>100%-I11</f>
        <v>0.73299999999999998</v>
      </c>
    </row>
    <row r="11" spans="2:10" ht="30.75" customHeight="1" x14ac:dyDescent="0.25">
      <c r="B11" s="496"/>
      <c r="C11" s="496"/>
      <c r="D11" s="496"/>
      <c r="E11" s="317" t="s">
        <v>1563</v>
      </c>
      <c r="F11" s="226">
        <v>1657209.6627573757</v>
      </c>
      <c r="G11" s="496"/>
      <c r="H11" s="318" t="s">
        <v>1537</v>
      </c>
      <c r="I11" s="311">
        <v>0.26700000000000002</v>
      </c>
      <c r="J11" s="1">
        <f>+F10/F11</f>
        <v>81852</v>
      </c>
    </row>
    <row r="12" spans="2:10" ht="30.75" customHeight="1" x14ac:dyDescent="0.25">
      <c r="B12" s="496" t="s">
        <v>1549</v>
      </c>
      <c r="C12" s="496" t="s">
        <v>1544</v>
      </c>
      <c r="D12" s="497" t="s">
        <v>1554</v>
      </c>
      <c r="E12" s="312" t="s">
        <v>1562</v>
      </c>
      <c r="F12" s="313">
        <v>218029277763.93359</v>
      </c>
      <c r="G12" s="497" t="s">
        <v>1539</v>
      </c>
      <c r="H12" s="314" t="s">
        <v>1536</v>
      </c>
      <c r="I12" s="315">
        <v>0.86904272355093171</v>
      </c>
    </row>
    <row r="13" spans="2:10" ht="30.75" customHeight="1" x14ac:dyDescent="0.25">
      <c r="B13" s="496"/>
      <c r="C13" s="496"/>
      <c r="D13" s="497"/>
      <c r="E13" s="312" t="s">
        <v>1563</v>
      </c>
      <c r="F13" s="316">
        <v>1306483.3927043153</v>
      </c>
      <c r="G13" s="497"/>
      <c r="H13" s="314" t="s">
        <v>1537</v>
      </c>
      <c r="I13" s="315">
        <v>0.1309572764490684</v>
      </c>
    </row>
    <row r="14" spans="2:10" ht="30.75" customHeight="1" x14ac:dyDescent="0.25">
      <c r="B14" s="496" t="s">
        <v>1550</v>
      </c>
      <c r="C14" s="496"/>
      <c r="D14" s="496" t="s">
        <v>1555</v>
      </c>
      <c r="E14" s="317" t="s">
        <v>1562</v>
      </c>
      <c r="F14" s="199">
        <v>340814066247.63361</v>
      </c>
      <c r="G14" s="496" t="s">
        <v>1539</v>
      </c>
      <c r="H14" s="318" t="s">
        <v>1536</v>
      </c>
      <c r="I14" s="311">
        <v>0.91622258812118373</v>
      </c>
    </row>
    <row r="15" spans="2:10" ht="30.75" customHeight="1" x14ac:dyDescent="0.25">
      <c r="B15" s="496"/>
      <c r="C15" s="496"/>
      <c r="D15" s="496"/>
      <c r="E15" s="317" t="s">
        <v>1563</v>
      </c>
      <c r="F15" s="226">
        <v>1306483.3927043153</v>
      </c>
      <c r="G15" s="496"/>
      <c r="H15" s="318" t="s">
        <v>1537</v>
      </c>
      <c r="I15" s="311">
        <v>8.3777411878816266E-2</v>
      </c>
    </row>
    <row r="16" spans="2:10" ht="30.75" customHeight="1" x14ac:dyDescent="0.25">
      <c r="B16" s="496" t="s">
        <v>1551</v>
      </c>
      <c r="C16" s="496"/>
      <c r="D16" s="497" t="s">
        <v>1556</v>
      </c>
      <c r="E16" s="312" t="s">
        <v>1562</v>
      </c>
      <c r="F16" s="313">
        <v>246736924420.31671</v>
      </c>
      <c r="G16" s="497" t="s">
        <v>1539</v>
      </c>
      <c r="H16" s="314" t="s">
        <v>1536</v>
      </c>
      <c r="I16" s="315">
        <v>0.85321425990671762</v>
      </c>
    </row>
    <row r="17" spans="2:9" ht="30.75" customHeight="1" x14ac:dyDescent="0.25">
      <c r="B17" s="496"/>
      <c r="C17" s="496"/>
      <c r="D17" s="497"/>
      <c r="E17" s="312" t="s">
        <v>1563</v>
      </c>
      <c r="F17" s="316">
        <v>1657209.6627573757</v>
      </c>
      <c r="G17" s="497"/>
      <c r="H17" s="314" t="s">
        <v>1537</v>
      </c>
      <c r="I17" s="315">
        <v>0.14678574009328235</v>
      </c>
    </row>
    <row r="18" spans="2:9" ht="30.75" customHeight="1" x14ac:dyDescent="0.25">
      <c r="B18" s="496" t="s">
        <v>1552</v>
      </c>
      <c r="C18" s="496"/>
      <c r="D18" s="496" t="s">
        <v>1557</v>
      </c>
      <c r="E18" s="317" t="s">
        <v>1562</v>
      </c>
      <c r="F18" s="199">
        <v>369521712904.01685</v>
      </c>
      <c r="G18" s="496" t="s">
        <v>1539</v>
      </c>
      <c r="H18" s="318" t="s">
        <v>1536</v>
      </c>
      <c r="I18" s="311">
        <v>0.90198827079808441</v>
      </c>
    </row>
    <row r="19" spans="2:9" ht="30.75" customHeight="1" x14ac:dyDescent="0.25">
      <c r="B19" s="496"/>
      <c r="C19" s="496"/>
      <c r="D19" s="496"/>
      <c r="E19" s="317" t="s">
        <v>1563</v>
      </c>
      <c r="F19" s="226">
        <v>1657209.6627573774</v>
      </c>
      <c r="G19" s="496"/>
      <c r="H19" s="318" t="s">
        <v>1537</v>
      </c>
      <c r="I19" s="311">
        <v>9.8011729201915587E-2</v>
      </c>
    </row>
    <row r="20" spans="2:9" ht="30.75" customHeight="1" x14ac:dyDescent="0.25">
      <c r="B20" s="496" t="s">
        <v>1565</v>
      </c>
      <c r="C20" s="496" t="s">
        <v>1553</v>
      </c>
      <c r="D20" s="497" t="s">
        <v>1558</v>
      </c>
      <c r="E20" s="312" t="s">
        <v>1562</v>
      </c>
      <c r="F20" s="313">
        <v>684833732223.22095</v>
      </c>
      <c r="G20" s="498" t="s">
        <v>1523</v>
      </c>
      <c r="H20" s="314" t="s">
        <v>1536</v>
      </c>
      <c r="I20" s="315">
        <v>0.2946619200917141</v>
      </c>
    </row>
    <row r="21" spans="2:9" ht="30.75" customHeight="1" x14ac:dyDescent="0.25">
      <c r="B21" s="496"/>
      <c r="C21" s="496"/>
      <c r="D21" s="497"/>
      <c r="E21" s="312" t="s">
        <v>1563</v>
      </c>
      <c r="F21" s="316">
        <v>1511786.3108894227</v>
      </c>
      <c r="G21" s="497"/>
      <c r="H21" s="314" t="s">
        <v>1537</v>
      </c>
      <c r="I21" s="315">
        <v>0.70533807990828579</v>
      </c>
    </row>
    <row r="22" spans="2:9" ht="30.75" customHeight="1" x14ac:dyDescent="0.25">
      <c r="B22" s="496" t="s">
        <v>1566</v>
      </c>
      <c r="C22" s="496"/>
      <c r="D22" s="496" t="s">
        <v>1559</v>
      </c>
      <c r="E22" s="317" t="s">
        <v>1562</v>
      </c>
      <c r="F22" s="199">
        <v>807618520706.92102</v>
      </c>
      <c r="G22" s="499" t="s">
        <v>1488</v>
      </c>
      <c r="H22" s="318" t="s">
        <v>1536</v>
      </c>
      <c r="I22" s="311">
        <v>0.40189669087833679</v>
      </c>
    </row>
    <row r="23" spans="2:9" ht="30.75" customHeight="1" x14ac:dyDescent="0.25">
      <c r="B23" s="496"/>
      <c r="C23" s="496"/>
      <c r="D23" s="496"/>
      <c r="E23" s="317" t="s">
        <v>1563</v>
      </c>
      <c r="F23" s="226">
        <v>1511786.3108894227</v>
      </c>
      <c r="G23" s="496"/>
      <c r="H23" s="318" t="s">
        <v>1537</v>
      </c>
      <c r="I23" s="311">
        <v>0.59810330912166321</v>
      </c>
    </row>
    <row r="24" spans="2:9" ht="30.75" customHeight="1" x14ac:dyDescent="0.25">
      <c r="B24" s="496" t="s">
        <v>1567</v>
      </c>
      <c r="C24" s="496"/>
      <c r="D24" s="497" t="s">
        <v>1560</v>
      </c>
      <c r="E24" s="312" t="s">
        <v>1562</v>
      </c>
      <c r="F24" s="313">
        <v>710964376927.01221</v>
      </c>
      <c r="G24" s="498" t="s">
        <v>1523</v>
      </c>
      <c r="H24" s="314" t="s">
        <v>1536</v>
      </c>
      <c r="I24" s="315">
        <v>0.31077251156147684</v>
      </c>
    </row>
    <row r="25" spans="2:9" ht="30.75" customHeight="1" x14ac:dyDescent="0.25">
      <c r="B25" s="496"/>
      <c r="C25" s="496"/>
      <c r="D25" s="497"/>
      <c r="E25" s="312" t="s">
        <v>1563</v>
      </c>
      <c r="F25" s="316">
        <v>1831028.90366408</v>
      </c>
      <c r="G25" s="497"/>
      <c r="H25" s="314" t="s">
        <v>1537</v>
      </c>
      <c r="I25" s="315">
        <v>0.68922748843852322</v>
      </c>
    </row>
    <row r="26" spans="2:9" ht="30.75" customHeight="1" x14ac:dyDescent="0.25">
      <c r="B26" s="496" t="s">
        <v>1568</v>
      </c>
      <c r="C26" s="496"/>
      <c r="D26" s="496" t="s">
        <v>1561</v>
      </c>
      <c r="E26" s="317" t="s">
        <v>1562</v>
      </c>
      <c r="F26" s="199">
        <v>833749165410.7124</v>
      </c>
      <c r="G26" s="499" t="s">
        <v>1488</v>
      </c>
      <c r="H26" s="318" t="s">
        <v>1536</v>
      </c>
      <c r="I26" s="311">
        <v>0.41227384421155272</v>
      </c>
    </row>
    <row r="27" spans="2:9" ht="30.75" customHeight="1" x14ac:dyDescent="0.25">
      <c r="B27" s="496"/>
      <c r="C27" s="496"/>
      <c r="D27" s="496"/>
      <c r="E27" s="317" t="s">
        <v>1563</v>
      </c>
      <c r="F27" s="226">
        <v>1831028.9036640809</v>
      </c>
      <c r="G27" s="496"/>
      <c r="H27" s="318" t="s">
        <v>1537</v>
      </c>
      <c r="I27" s="311">
        <v>0.58772615578844722</v>
      </c>
    </row>
    <row r="35" spans="8:18" x14ac:dyDescent="0.25">
      <c r="H35" s="248"/>
      <c r="I35" s="1"/>
      <c r="J35"/>
    </row>
    <row r="36" spans="8:18" x14ac:dyDescent="0.25">
      <c r="H36" s="248"/>
      <c r="I36" s="1"/>
      <c r="J36"/>
    </row>
    <row r="37" spans="8:18" ht="30" x14ac:dyDescent="0.25">
      <c r="I37"/>
      <c r="J37"/>
      <c r="K37" s="309" t="s">
        <v>1545</v>
      </c>
      <c r="L37" s="309" t="s">
        <v>1360</v>
      </c>
      <c r="M37" s="500" t="s">
        <v>1531</v>
      </c>
      <c r="N37" s="500"/>
      <c r="O37" s="309" t="s">
        <v>1534</v>
      </c>
      <c r="P37" s="500" t="s">
        <v>1535</v>
      </c>
      <c r="Q37" s="500"/>
      <c r="R37" s="1"/>
    </row>
    <row r="38" spans="8:18" ht="30" customHeight="1" x14ac:dyDescent="0.25">
      <c r="I38"/>
      <c r="J38"/>
      <c r="K38" s="496" t="s">
        <v>1546</v>
      </c>
      <c r="L38" s="496" t="s">
        <v>1540</v>
      </c>
      <c r="M38" s="164" t="s">
        <v>1532</v>
      </c>
      <c r="N38" s="319" t="s">
        <v>1538</v>
      </c>
      <c r="O38" s="496" t="s">
        <v>1539</v>
      </c>
      <c r="P38" s="164" t="s">
        <v>1536</v>
      </c>
      <c r="Q38" s="311">
        <f>100%-Q39</f>
        <v>0.73299999999999998</v>
      </c>
      <c r="R38" s="1"/>
    </row>
    <row r="39" spans="8:18" ht="30" customHeight="1" x14ac:dyDescent="0.25">
      <c r="I39"/>
      <c r="J39"/>
      <c r="K39" s="496"/>
      <c r="L39" s="496"/>
      <c r="M39" s="164" t="s">
        <v>1533</v>
      </c>
      <c r="N39" s="319" t="s">
        <v>1538</v>
      </c>
      <c r="O39" s="496"/>
      <c r="P39" s="164" t="s">
        <v>1537</v>
      </c>
      <c r="Q39" s="311">
        <v>0.26700000000000002</v>
      </c>
      <c r="R39" s="1"/>
    </row>
    <row r="40" spans="8:18" ht="30" customHeight="1" x14ac:dyDescent="0.25">
      <c r="I40"/>
      <c r="J40"/>
      <c r="K40" s="496" t="s">
        <v>1547</v>
      </c>
      <c r="L40" s="496" t="s">
        <v>1541</v>
      </c>
      <c r="M40" s="312" t="s">
        <v>1562</v>
      </c>
      <c r="N40" s="320">
        <v>106938278659.63361</v>
      </c>
      <c r="O40" s="497" t="s">
        <v>1539</v>
      </c>
      <c r="P40" s="314" t="s">
        <v>1536</v>
      </c>
      <c r="Q40" s="315">
        <f>100%-Q41</f>
        <v>0.73299999999999998</v>
      </c>
      <c r="R40" s="1"/>
    </row>
    <row r="41" spans="8:18" ht="30" customHeight="1" x14ac:dyDescent="0.25">
      <c r="I41"/>
      <c r="J41"/>
      <c r="K41" s="496"/>
      <c r="L41" s="496"/>
      <c r="M41" s="312" t="s">
        <v>1563</v>
      </c>
      <c r="N41" s="321">
        <v>1306483.3927043153</v>
      </c>
      <c r="O41" s="497"/>
      <c r="P41" s="314" t="s">
        <v>1537</v>
      </c>
      <c r="Q41" s="315">
        <v>0.26700000000000002</v>
      </c>
      <c r="R41" s="1"/>
    </row>
    <row r="42" spans="8:18" ht="30" customHeight="1" x14ac:dyDescent="0.25">
      <c r="I42"/>
      <c r="J42"/>
      <c r="K42" s="496" t="s">
        <v>1548</v>
      </c>
      <c r="L42" s="496"/>
      <c r="M42" s="317" t="s">
        <v>1562</v>
      </c>
      <c r="N42" s="322">
        <v>135645925316.01672</v>
      </c>
      <c r="O42" s="496" t="s">
        <v>1539</v>
      </c>
      <c r="P42" s="318" t="s">
        <v>1536</v>
      </c>
      <c r="Q42" s="311">
        <f>100%-Q43</f>
        <v>0.73299999999999998</v>
      </c>
      <c r="R42" s="1"/>
    </row>
    <row r="43" spans="8:18" ht="30" customHeight="1" x14ac:dyDescent="0.25">
      <c r="I43"/>
      <c r="J43"/>
      <c r="K43" s="496"/>
      <c r="L43" s="496"/>
      <c r="M43" s="317" t="s">
        <v>1563</v>
      </c>
      <c r="N43" s="323">
        <v>1657209.6627573757</v>
      </c>
      <c r="O43" s="496"/>
      <c r="P43" s="318" t="s">
        <v>1537</v>
      </c>
      <c r="Q43" s="311">
        <v>0.26700000000000002</v>
      </c>
      <c r="R43" s="1"/>
    </row>
    <row r="44" spans="8:18" ht="30" customHeight="1" x14ac:dyDescent="0.25">
      <c r="I44"/>
      <c r="J44"/>
      <c r="K44" s="496" t="s">
        <v>1549</v>
      </c>
      <c r="L44" s="496" t="s">
        <v>1544</v>
      </c>
      <c r="M44" s="312" t="s">
        <v>1562</v>
      </c>
      <c r="N44" s="320">
        <v>218029277763.93359</v>
      </c>
      <c r="O44" s="497" t="s">
        <v>1539</v>
      </c>
      <c r="P44" s="314" t="s">
        <v>1536</v>
      </c>
      <c r="Q44" s="315">
        <v>0.86904272355093171</v>
      </c>
      <c r="R44" s="1"/>
    </row>
    <row r="45" spans="8:18" ht="30" customHeight="1" x14ac:dyDescent="0.25">
      <c r="I45"/>
      <c r="J45"/>
      <c r="K45" s="496"/>
      <c r="L45" s="496"/>
      <c r="M45" s="312" t="s">
        <v>1563</v>
      </c>
      <c r="N45" s="321">
        <v>1306483.3927043153</v>
      </c>
      <c r="O45" s="497"/>
      <c r="P45" s="314" t="s">
        <v>1537</v>
      </c>
      <c r="Q45" s="315">
        <v>0.1309572764490684</v>
      </c>
      <c r="R45" s="1"/>
    </row>
    <row r="46" spans="8:18" ht="30" customHeight="1" x14ac:dyDescent="0.25">
      <c r="I46"/>
      <c r="J46"/>
      <c r="K46" s="496" t="s">
        <v>1550</v>
      </c>
      <c r="L46" s="496"/>
      <c r="M46" s="317" t="s">
        <v>1562</v>
      </c>
      <c r="N46" s="322">
        <v>340814066247.63361</v>
      </c>
      <c r="O46" s="496" t="s">
        <v>1539</v>
      </c>
      <c r="P46" s="318" t="s">
        <v>1536</v>
      </c>
      <c r="Q46" s="311">
        <v>0.91622258812118373</v>
      </c>
      <c r="R46" s="1"/>
    </row>
    <row r="47" spans="8:18" ht="30" customHeight="1" x14ac:dyDescent="0.25">
      <c r="I47"/>
      <c r="J47"/>
      <c r="K47" s="496"/>
      <c r="L47" s="496"/>
      <c r="M47" s="317" t="s">
        <v>1563</v>
      </c>
      <c r="N47" s="323">
        <v>1306483.3927043153</v>
      </c>
      <c r="O47" s="496"/>
      <c r="P47" s="318" t="s">
        <v>1537</v>
      </c>
      <c r="Q47" s="311">
        <v>8.3777411878816266E-2</v>
      </c>
      <c r="R47" s="1"/>
    </row>
    <row r="48" spans="8:18" ht="30" customHeight="1" x14ac:dyDescent="0.25">
      <c r="I48"/>
      <c r="J48"/>
      <c r="K48" s="496" t="s">
        <v>1551</v>
      </c>
      <c r="L48" s="496"/>
      <c r="M48" s="312" t="s">
        <v>1562</v>
      </c>
      <c r="N48" s="320">
        <v>246736924420.31671</v>
      </c>
      <c r="O48" s="497" t="s">
        <v>1539</v>
      </c>
      <c r="P48" s="314" t="s">
        <v>1536</v>
      </c>
      <c r="Q48" s="315">
        <v>0.85321425990671762</v>
      </c>
      <c r="R48" s="1"/>
    </row>
    <row r="49" spans="8:18" ht="30" customHeight="1" x14ac:dyDescent="0.25">
      <c r="I49"/>
      <c r="J49"/>
      <c r="K49" s="496"/>
      <c r="L49" s="496"/>
      <c r="M49" s="312" t="s">
        <v>1563</v>
      </c>
      <c r="N49" s="321">
        <v>1657209.6627573757</v>
      </c>
      <c r="O49" s="497"/>
      <c r="P49" s="314" t="s">
        <v>1537</v>
      </c>
      <c r="Q49" s="315">
        <v>0.14678574009328235</v>
      </c>
      <c r="R49" s="1"/>
    </row>
    <row r="50" spans="8:18" ht="30" customHeight="1" x14ac:dyDescent="0.25">
      <c r="I50"/>
      <c r="J50"/>
      <c r="K50" s="496" t="s">
        <v>1552</v>
      </c>
      <c r="L50" s="496"/>
      <c r="M50" s="317" t="s">
        <v>1562</v>
      </c>
      <c r="N50" s="322">
        <v>369521712904.01685</v>
      </c>
      <c r="O50" s="496" t="s">
        <v>1539</v>
      </c>
      <c r="P50" s="318" t="s">
        <v>1536</v>
      </c>
      <c r="Q50" s="311">
        <v>0.90198827079808441</v>
      </c>
      <c r="R50" s="1"/>
    </row>
    <row r="51" spans="8:18" ht="30" customHeight="1" x14ac:dyDescent="0.25">
      <c r="I51"/>
      <c r="J51"/>
      <c r="K51" s="496"/>
      <c r="L51" s="496"/>
      <c r="M51" s="317" t="s">
        <v>1563</v>
      </c>
      <c r="N51" s="323">
        <v>1657209.6627573774</v>
      </c>
      <c r="O51" s="496"/>
      <c r="P51" s="318" t="s">
        <v>1537</v>
      </c>
      <c r="Q51" s="311">
        <v>9.8011729201915587E-2</v>
      </c>
      <c r="R51" s="1"/>
    </row>
    <row r="52" spans="8:18" ht="30" customHeight="1" x14ac:dyDescent="0.25">
      <c r="I52"/>
      <c r="J52"/>
      <c r="K52" s="496" t="s">
        <v>1565</v>
      </c>
      <c r="L52" s="496" t="s">
        <v>1553</v>
      </c>
      <c r="M52" s="312" t="s">
        <v>1562</v>
      </c>
      <c r="N52" s="320">
        <v>684833732223.22095</v>
      </c>
      <c r="O52" s="498" t="s">
        <v>1523</v>
      </c>
      <c r="P52" s="314" t="s">
        <v>1536</v>
      </c>
      <c r="Q52" s="315">
        <v>0.2946619200917141</v>
      </c>
      <c r="R52" s="1"/>
    </row>
    <row r="53" spans="8:18" ht="30" customHeight="1" x14ac:dyDescent="0.25">
      <c r="I53"/>
      <c r="J53"/>
      <c r="K53" s="496"/>
      <c r="L53" s="496"/>
      <c r="M53" s="312" t="s">
        <v>1563</v>
      </c>
      <c r="N53" s="321">
        <v>1511786.3108894227</v>
      </c>
      <c r="O53" s="497"/>
      <c r="P53" s="314" t="s">
        <v>1537</v>
      </c>
      <c r="Q53" s="315">
        <v>0.70533807990828579</v>
      </c>
      <c r="R53" s="1"/>
    </row>
    <row r="54" spans="8:18" ht="30" customHeight="1" x14ac:dyDescent="0.25">
      <c r="I54"/>
      <c r="J54"/>
      <c r="K54" s="496" t="s">
        <v>1566</v>
      </c>
      <c r="L54" s="496"/>
      <c r="M54" s="317" t="s">
        <v>1562</v>
      </c>
      <c r="N54" s="322">
        <v>807618520706.92102</v>
      </c>
      <c r="O54" s="499" t="s">
        <v>1488</v>
      </c>
      <c r="P54" s="318" t="s">
        <v>1536</v>
      </c>
      <c r="Q54" s="311">
        <v>0.40189669087833679</v>
      </c>
      <c r="R54" s="1"/>
    </row>
    <row r="55" spans="8:18" ht="30" customHeight="1" x14ac:dyDescent="0.25">
      <c r="I55"/>
      <c r="J55"/>
      <c r="K55" s="496"/>
      <c r="L55" s="496"/>
      <c r="M55" s="317" t="s">
        <v>1563</v>
      </c>
      <c r="N55" s="323">
        <v>1511786.3108894227</v>
      </c>
      <c r="O55" s="496"/>
      <c r="P55" s="318" t="s">
        <v>1537</v>
      </c>
      <c r="Q55" s="311">
        <v>0.59810330912166321</v>
      </c>
      <c r="R55" s="1"/>
    </row>
    <row r="56" spans="8:18" ht="30" customHeight="1" x14ac:dyDescent="0.25">
      <c r="I56"/>
      <c r="J56"/>
      <c r="K56" s="496" t="s">
        <v>1567</v>
      </c>
      <c r="L56" s="496"/>
      <c r="M56" s="312" t="s">
        <v>1562</v>
      </c>
      <c r="N56" s="320">
        <v>710964376927.01221</v>
      </c>
      <c r="O56" s="498" t="s">
        <v>1523</v>
      </c>
      <c r="P56" s="314" t="s">
        <v>1536</v>
      </c>
      <c r="Q56" s="315">
        <v>0.31077251156147684</v>
      </c>
      <c r="R56" s="1"/>
    </row>
    <row r="57" spans="8:18" ht="30" customHeight="1" x14ac:dyDescent="0.25">
      <c r="I57"/>
      <c r="J57"/>
      <c r="K57" s="496"/>
      <c r="L57" s="496"/>
      <c r="M57" s="312" t="s">
        <v>1563</v>
      </c>
      <c r="N57" s="321">
        <v>1831028.90366408</v>
      </c>
      <c r="O57" s="497"/>
      <c r="P57" s="314" t="s">
        <v>1537</v>
      </c>
      <c r="Q57" s="315">
        <v>0.68922748843852322</v>
      </c>
      <c r="R57" s="1"/>
    </row>
    <row r="58" spans="8:18" ht="30" customHeight="1" x14ac:dyDescent="0.25">
      <c r="I58"/>
      <c r="J58"/>
      <c r="K58" s="496" t="s">
        <v>1568</v>
      </c>
      <c r="L58" s="496"/>
      <c r="M58" s="317" t="s">
        <v>1562</v>
      </c>
      <c r="N58" s="322">
        <v>833749165410.7124</v>
      </c>
      <c r="O58" s="499" t="s">
        <v>1488</v>
      </c>
      <c r="P58" s="318" t="s">
        <v>1536</v>
      </c>
      <c r="Q58" s="311">
        <v>0.41227384421155272</v>
      </c>
      <c r="R58" s="1"/>
    </row>
    <row r="59" spans="8:18" ht="30" customHeight="1" x14ac:dyDescent="0.25">
      <c r="I59"/>
      <c r="J59"/>
      <c r="K59" s="496"/>
      <c r="L59" s="496"/>
      <c r="M59" s="317" t="s">
        <v>1563</v>
      </c>
      <c r="N59" s="323">
        <v>1831028.9036640809</v>
      </c>
      <c r="O59" s="496"/>
      <c r="P59" s="318" t="s">
        <v>1537</v>
      </c>
      <c r="Q59" s="311">
        <v>0.58772615578844722</v>
      </c>
      <c r="R59" s="1"/>
    </row>
    <row r="60" spans="8:18" x14ac:dyDescent="0.25">
      <c r="H60" s="248"/>
      <c r="I60" s="1"/>
      <c r="J60"/>
    </row>
  </sheetData>
  <mergeCells count="67">
    <mergeCell ref="O54:O55"/>
    <mergeCell ref="O56:O57"/>
    <mergeCell ref="O58:O59"/>
    <mergeCell ref="O44:O45"/>
    <mergeCell ref="O46:O47"/>
    <mergeCell ref="O48:O49"/>
    <mergeCell ref="O50:O51"/>
    <mergeCell ref="O52:O53"/>
    <mergeCell ref="M37:N37"/>
    <mergeCell ref="P37:Q37"/>
    <mergeCell ref="O38:O39"/>
    <mergeCell ref="O40:O41"/>
    <mergeCell ref="O42:O43"/>
    <mergeCell ref="K52:K53"/>
    <mergeCell ref="L52:L59"/>
    <mergeCell ref="K54:K55"/>
    <mergeCell ref="K56:K57"/>
    <mergeCell ref="K58:K59"/>
    <mergeCell ref="K44:K45"/>
    <mergeCell ref="L44:L51"/>
    <mergeCell ref="K46:K47"/>
    <mergeCell ref="K48:K49"/>
    <mergeCell ref="K50:K51"/>
    <mergeCell ref="K38:K39"/>
    <mergeCell ref="L38:L39"/>
    <mergeCell ref="K40:K41"/>
    <mergeCell ref="L40:L43"/>
    <mergeCell ref="K42:K43"/>
    <mergeCell ref="E5:F5"/>
    <mergeCell ref="H5:I5"/>
    <mergeCell ref="D6:D7"/>
    <mergeCell ref="C6:C7"/>
    <mergeCell ref="G6:G7"/>
    <mergeCell ref="D10:D11"/>
    <mergeCell ref="G10:G11"/>
    <mergeCell ref="C8:C11"/>
    <mergeCell ref="C12:C19"/>
    <mergeCell ref="D12:D13"/>
    <mergeCell ref="G12:G13"/>
    <mergeCell ref="D18:D19"/>
    <mergeCell ref="G18:G19"/>
    <mergeCell ref="D14:D15"/>
    <mergeCell ref="D8:D9"/>
    <mergeCell ref="G8:G9"/>
    <mergeCell ref="G14:G15"/>
    <mergeCell ref="D16:D17"/>
    <mergeCell ref="G16:G17"/>
    <mergeCell ref="B6:B7"/>
    <mergeCell ref="B8:B9"/>
    <mergeCell ref="B12:B13"/>
    <mergeCell ref="B18:B19"/>
    <mergeCell ref="B14:B15"/>
    <mergeCell ref="B16:B17"/>
    <mergeCell ref="B10:B11"/>
    <mergeCell ref="B20:B21"/>
    <mergeCell ref="C20:C27"/>
    <mergeCell ref="D20:D21"/>
    <mergeCell ref="G20:G21"/>
    <mergeCell ref="B22:B23"/>
    <mergeCell ref="D22:D23"/>
    <mergeCell ref="G22:G23"/>
    <mergeCell ref="B24:B25"/>
    <mergeCell ref="D24:D25"/>
    <mergeCell ref="G24:G25"/>
    <mergeCell ref="B26:B27"/>
    <mergeCell ref="D26:D27"/>
    <mergeCell ref="G26:G2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67:D214"/>
  <sheetViews>
    <sheetView workbookViewId="0"/>
  </sheetViews>
  <sheetFormatPr baseColWidth="10" defaultColWidth="11.42578125" defaultRowHeight="15" x14ac:dyDescent="0.25"/>
  <sheetData>
    <row r="67" spans="1:4" x14ac:dyDescent="0.25">
      <c r="A67" s="110" t="s">
        <v>1591</v>
      </c>
    </row>
    <row r="68" spans="1:4" x14ac:dyDescent="0.25">
      <c r="A68" s="109" t="s">
        <v>1581</v>
      </c>
      <c r="C68" s="9">
        <v>233875787588</v>
      </c>
      <c r="D68" t="s">
        <v>11</v>
      </c>
    </row>
    <row r="69" spans="1:4" x14ac:dyDescent="0.25">
      <c r="A69" s="109" t="s">
        <v>1585</v>
      </c>
      <c r="C69" s="9">
        <v>69984178141.257782</v>
      </c>
      <c r="D69" t="s">
        <v>11</v>
      </c>
    </row>
    <row r="70" spans="1:4" x14ac:dyDescent="0.25">
      <c r="A70" s="109" t="s">
        <v>1581</v>
      </c>
      <c r="C70" s="9">
        <v>519629224913.21698</v>
      </c>
      <c r="D70" t="s">
        <v>11</v>
      </c>
    </row>
    <row r="71" spans="1:4" x14ac:dyDescent="0.25">
      <c r="A71" s="109" t="s">
        <v>1582</v>
      </c>
      <c r="C71" s="1">
        <v>1831028.9036640809</v>
      </c>
      <c r="D71" t="s">
        <v>5</v>
      </c>
    </row>
    <row r="72" spans="1:4" x14ac:dyDescent="0.25">
      <c r="A72" s="109" t="s">
        <v>1590</v>
      </c>
      <c r="C72" s="9">
        <v>833749165410.7124</v>
      </c>
      <c r="D72" t="s">
        <v>11</v>
      </c>
    </row>
    <row r="138" spans="1:4" x14ac:dyDescent="0.25">
      <c r="A138" s="110" t="s">
        <v>1591</v>
      </c>
    </row>
    <row r="139" spans="1:4" x14ac:dyDescent="0.25">
      <c r="A139" s="109" t="s">
        <v>1581</v>
      </c>
      <c r="C139" s="9">
        <v>369523744389.04004</v>
      </c>
      <c r="D139" t="s">
        <v>11</v>
      </c>
    </row>
    <row r="140" spans="1:4" x14ac:dyDescent="0.25">
      <c r="A140" s="109" t="s">
        <v>1585</v>
      </c>
      <c r="C140" s="9">
        <v>119082206466.16684</v>
      </c>
      <c r="D140" t="s">
        <v>11</v>
      </c>
    </row>
    <row r="141" spans="1:4" x14ac:dyDescent="0.25">
      <c r="A141" s="109" t="s">
        <v>1581</v>
      </c>
      <c r="C141" s="9">
        <v>418727253238.12598</v>
      </c>
      <c r="D141" t="s">
        <v>11</v>
      </c>
    </row>
    <row r="142" spans="1:4" x14ac:dyDescent="0.25">
      <c r="A142" s="109" t="s">
        <v>1582</v>
      </c>
      <c r="C142" s="1">
        <v>2212627.554855349</v>
      </c>
      <c r="D142" t="s">
        <v>5</v>
      </c>
    </row>
    <row r="143" spans="1:4" x14ac:dyDescent="0.25">
      <c r="A143" s="109" t="s">
        <v>1590</v>
      </c>
      <c r="C143" s="9">
        <v>850631735009.06006</v>
      </c>
      <c r="D143" t="s">
        <v>11</v>
      </c>
    </row>
    <row r="209" spans="1:4" x14ac:dyDescent="0.25">
      <c r="A209" s="110" t="s">
        <v>1591</v>
      </c>
    </row>
    <row r="210" spans="1:4" x14ac:dyDescent="0.25">
      <c r="A210" s="109" t="s">
        <v>1581</v>
      </c>
      <c r="C210" s="9">
        <v>369523744389.04004</v>
      </c>
      <c r="D210" t="s">
        <v>11</v>
      </c>
    </row>
    <row r="211" spans="1:4" x14ac:dyDescent="0.25">
      <c r="A211" s="109" t="s">
        <v>1585</v>
      </c>
      <c r="C211" s="9">
        <v>194775000133.73499</v>
      </c>
      <c r="D211" t="s">
        <v>11</v>
      </c>
    </row>
    <row r="212" spans="1:4" x14ac:dyDescent="0.25">
      <c r="A212" s="109" t="s">
        <v>1581</v>
      </c>
      <c r="C212" s="9">
        <v>494420046905.69421</v>
      </c>
      <c r="D212" t="s">
        <v>11</v>
      </c>
    </row>
    <row r="213" spans="1:4" x14ac:dyDescent="0.25">
      <c r="A213" s="109" t="s">
        <v>1582</v>
      </c>
      <c r="C213" s="1">
        <v>2828945.0910530621</v>
      </c>
      <c r="D213" t="s">
        <v>5</v>
      </c>
    </row>
    <row r="214" spans="1:4" x14ac:dyDescent="0.25">
      <c r="A214" s="109" t="s">
        <v>1590</v>
      </c>
      <c r="C214" s="9">
        <v>901078557981.91528</v>
      </c>
      <c r="D214" t="s">
        <v>11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X873"/>
  <sheetViews>
    <sheetView showGridLines="0" tabSelected="1" topLeftCell="B1" zoomScale="98" zoomScaleNormal="98" workbookViewId="0">
      <pane xSplit="2" ySplit="6" topLeftCell="F7" activePane="bottomRight" state="frozen"/>
      <selection activeCell="B1" sqref="B1"/>
      <selection pane="topRight" activeCell="D1" sqref="D1"/>
      <selection pane="bottomLeft" activeCell="B7" sqref="B7"/>
      <selection pane="bottomRight" activeCell="L54" sqref="L54"/>
    </sheetView>
  </sheetViews>
  <sheetFormatPr baseColWidth="10" defaultColWidth="0" defaultRowHeight="15" outlineLevelRow="1" outlineLevelCol="1" x14ac:dyDescent="0.25"/>
  <cols>
    <col min="1" max="1" width="17.5703125" hidden="1" customWidth="1" outlineLevel="1"/>
    <col min="2" max="2" width="39.140625" bestFit="1" customWidth="1" collapsed="1"/>
    <col min="3" max="3" width="13.140625" customWidth="1"/>
    <col min="4" max="17" width="13.7109375" style="1" customWidth="1"/>
    <col min="18" max="23" width="11.42578125" customWidth="1"/>
    <col min="24" max="24" width="0" hidden="1" customWidth="1"/>
    <col min="25" max="16384" width="11.42578125" hidden="1"/>
  </cols>
  <sheetData>
    <row r="1" spans="1:22" hidden="1" outlineLevel="1" x14ac:dyDescent="0.25">
      <c r="B1" t="s">
        <v>1119</v>
      </c>
      <c r="D1" s="115">
        <f>+D10-D35-D50</f>
        <v>0</v>
      </c>
      <c r="E1" s="115">
        <f t="shared" ref="E1:M1" si="0">+E10-E35-E50</f>
        <v>0</v>
      </c>
      <c r="F1" s="115">
        <f t="shared" si="0"/>
        <v>-0.19677734375</v>
      </c>
      <c r="G1" s="115">
        <f t="shared" si="0"/>
        <v>-0.1968994140625</v>
      </c>
      <c r="H1" s="115">
        <f t="shared" si="0"/>
        <v>-0.1968994140625</v>
      </c>
      <c r="I1" s="115">
        <f t="shared" si="0"/>
        <v>-0.197021484375</v>
      </c>
      <c r="J1" s="115">
        <f t="shared" si="0"/>
        <v>-0.19677734375</v>
      </c>
      <c r="K1" s="115">
        <f t="shared" si="0"/>
        <v>-0.1968994140625</v>
      </c>
      <c r="L1" s="115">
        <f t="shared" si="0"/>
        <v>-0.19696044921875</v>
      </c>
      <c r="M1" s="115">
        <f t="shared" si="0"/>
        <v>-0.1968994140625</v>
      </c>
      <c r="N1" s="115">
        <f>+N10-N35-N50</f>
        <v>-0.19696044921875</v>
      </c>
      <c r="O1" s="115">
        <f>+O10-O35-O50</f>
        <v>-0.196990966796875</v>
      </c>
      <c r="P1" s="115">
        <f>+P10-P35-P50</f>
        <v>-0.1969146728515625</v>
      </c>
      <c r="Q1" s="115">
        <f>+Q10-Q35-Q50</f>
        <v>-0.1967620849609375</v>
      </c>
    </row>
    <row r="2" spans="1:22" hidden="1" outlineLevel="1" x14ac:dyDescent="0.25"/>
    <row r="3" spans="1:22" hidden="1" outlineLevel="1" x14ac:dyDescent="0.25">
      <c r="B3" s="2" t="s">
        <v>0</v>
      </c>
    </row>
    <row r="4" spans="1:22" hidden="1" outlineLevel="1" x14ac:dyDescent="0.25">
      <c r="B4" s="2" t="s">
        <v>1180</v>
      </c>
    </row>
    <row r="5" spans="1:22" collapsed="1" x14ac:dyDescent="0.25"/>
    <row r="6" spans="1:22" s="16" customFormat="1" x14ac:dyDescent="0.25">
      <c r="A6" s="16" t="s">
        <v>990</v>
      </c>
      <c r="B6" s="132" t="s">
        <v>1179</v>
      </c>
      <c r="C6" s="132" t="s">
        <v>1321</v>
      </c>
      <c r="D6" s="133" t="s">
        <v>1099</v>
      </c>
      <c r="E6" s="133" t="s">
        <v>1100</v>
      </c>
      <c r="F6" s="133" t="s">
        <v>1101</v>
      </c>
      <c r="G6" s="133" t="s">
        <v>1710</v>
      </c>
      <c r="H6" s="133" t="s">
        <v>1711</v>
      </c>
      <c r="I6" s="133" t="s">
        <v>1104</v>
      </c>
      <c r="J6" s="133" t="s">
        <v>1105</v>
      </c>
      <c r="K6" s="133" t="s">
        <v>1106</v>
      </c>
      <c r="L6" s="133" t="s">
        <v>1107</v>
      </c>
      <c r="M6" s="133" t="s">
        <v>1108</v>
      </c>
      <c r="N6" s="133" t="s">
        <v>1346</v>
      </c>
      <c r="O6" s="133" t="s">
        <v>1347</v>
      </c>
      <c r="P6" s="133" t="s">
        <v>1348</v>
      </c>
      <c r="Q6" s="133" t="s">
        <v>1349</v>
      </c>
      <c r="R6" s="133" t="s">
        <v>1712</v>
      </c>
      <c r="S6" s="133" t="s">
        <v>1713</v>
      </c>
      <c r="V6" s="133" t="s">
        <v>31</v>
      </c>
    </row>
    <row r="7" spans="1:22" x14ac:dyDescent="0.25"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1:22" s="260" customFormat="1" x14ac:dyDescent="0.25">
      <c r="B8" s="168" t="s">
        <v>1097</v>
      </c>
      <c r="C8" s="169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1"/>
    </row>
    <row r="9" spans="1:22" hidden="1" outlineLevel="1" x14ac:dyDescent="0.25">
      <c r="B9" s="107"/>
      <c r="C9" s="107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1:22" s="16" customFormat="1" hidden="1" outlineLevel="1" x14ac:dyDescent="0.25">
      <c r="B10" s="136" t="s">
        <v>1095</v>
      </c>
      <c r="C10" s="138" t="s">
        <v>11</v>
      </c>
      <c r="D10" s="137">
        <f>+D12+D16+D26+D30</f>
        <v>190047779441</v>
      </c>
      <c r="E10" s="134">
        <f t="shared" ref="E10:M10" si="1">+E12+E16+E26+E30</f>
        <v>233318009664</v>
      </c>
      <c r="F10" s="134">
        <f t="shared" si="1"/>
        <v>311670526572</v>
      </c>
      <c r="G10" s="134">
        <f t="shared" si="1"/>
        <v>357526394806.61145</v>
      </c>
      <c r="H10" s="134">
        <f t="shared" si="1"/>
        <v>536536092767.6153</v>
      </c>
      <c r="I10" s="134">
        <f t="shared" si="1"/>
        <v>562848073534.18335</v>
      </c>
      <c r="J10" s="134">
        <f t="shared" si="1"/>
        <v>630162628866.4082</v>
      </c>
      <c r="K10" s="134">
        <f t="shared" si="1"/>
        <v>670091521881.78174</v>
      </c>
      <c r="L10" s="134">
        <f t="shared" si="1"/>
        <v>825368312425.46118</v>
      </c>
      <c r="M10" s="134">
        <f t="shared" si="1"/>
        <v>907825625414.30261</v>
      </c>
      <c r="N10" s="134">
        <f>+N12+N16+N26+N30</f>
        <v>1016028919065.671</v>
      </c>
      <c r="O10" s="134">
        <f>+O12+O16+O26+O30</f>
        <v>1139145824355.8647</v>
      </c>
      <c r="P10" s="134">
        <f>+P12+P16+P26+P30</f>
        <v>1268588652891.125</v>
      </c>
      <c r="Q10" s="135">
        <f>+Q12+Q16+Q26+Q30</f>
        <v>1361807708296.498</v>
      </c>
    </row>
    <row r="11" spans="1:22" hidden="1" outlineLevel="1" x14ac:dyDescent="0.25">
      <c r="B11" s="108"/>
      <c r="C11" s="108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1:22" s="16" customFormat="1" hidden="1" outlineLevel="1" x14ac:dyDescent="0.25">
      <c r="B12" s="172" t="s">
        <v>1073</v>
      </c>
      <c r="C12" s="173" t="s">
        <v>11</v>
      </c>
      <c r="D12" s="174">
        <f>SUM(D13:D14)</f>
        <v>10829724787</v>
      </c>
      <c r="E12" s="175">
        <f t="shared" ref="E12:M12" si="2">SUM(E13:E14)</f>
        <v>20611607335</v>
      </c>
      <c r="F12" s="175">
        <f t="shared" si="2"/>
        <v>39587220947</v>
      </c>
      <c r="G12" s="175">
        <f t="shared" si="2"/>
        <v>61681498714.984261</v>
      </c>
      <c r="H12" s="175">
        <f t="shared" si="2"/>
        <v>218932520833.20761</v>
      </c>
      <c r="I12" s="175">
        <f t="shared" si="2"/>
        <v>253618821251.07599</v>
      </c>
      <c r="J12" s="175">
        <f t="shared" si="2"/>
        <v>339745912220.68298</v>
      </c>
      <c r="K12" s="175">
        <f t="shared" si="2"/>
        <v>397714391707.65704</v>
      </c>
      <c r="L12" s="175">
        <f t="shared" si="2"/>
        <v>572651524857.43738</v>
      </c>
      <c r="M12" s="175">
        <f t="shared" si="2"/>
        <v>646866276760.48828</v>
      </c>
      <c r="N12" s="175">
        <f>SUM(N13:N14)</f>
        <v>746537390851.57446</v>
      </c>
      <c r="O12" s="175">
        <f>SUM(O13:O14)</f>
        <v>860822379355.84607</v>
      </c>
      <c r="P12" s="175">
        <f>SUM(P13:P14)</f>
        <v>981122685054.69434</v>
      </c>
      <c r="Q12" s="176">
        <f>SUM(Q13:Q14)</f>
        <v>1072963287082.887</v>
      </c>
    </row>
    <row r="13" spans="1:22" hidden="1" outlineLevel="1" x14ac:dyDescent="0.25">
      <c r="A13" t="s">
        <v>991</v>
      </c>
      <c r="B13" s="139" t="s">
        <v>37</v>
      </c>
      <c r="C13" s="139" t="s">
        <v>11</v>
      </c>
      <c r="D13" s="148">
        <f>SUMIF(EPI!$B$2:$B$372,PRY!$A13,EPI!E$2:E$372)</f>
        <v>6762481831</v>
      </c>
      <c r="E13" s="143">
        <f>SUMIF(EPI!$B$2:$B$372,PRY!$A13,EPI!F$2:F$372)</f>
        <v>15189324061</v>
      </c>
      <c r="F13" s="143">
        <f>SUMIF(EPI!$B$2:$B$372,PRY!$A13,EPI!G$2:G$372)</f>
        <v>15776347830</v>
      </c>
      <c r="G13" s="143">
        <f>+G160</f>
        <v>61681498714.984261</v>
      </c>
      <c r="H13" s="143">
        <f t="shared" ref="H13:M13" si="3">+H160</f>
        <v>218932520833.20761</v>
      </c>
      <c r="I13" s="143">
        <f t="shared" si="3"/>
        <v>253618821251.07599</v>
      </c>
      <c r="J13" s="143">
        <f t="shared" si="3"/>
        <v>339745912220.68298</v>
      </c>
      <c r="K13" s="143">
        <f t="shared" si="3"/>
        <v>397714391707.65704</v>
      </c>
      <c r="L13" s="143">
        <f t="shared" si="3"/>
        <v>572651524857.43738</v>
      </c>
      <c r="M13" s="143">
        <f t="shared" si="3"/>
        <v>646866276760.48828</v>
      </c>
      <c r="N13" s="143">
        <f>+N160</f>
        <v>746537390851.57446</v>
      </c>
      <c r="O13" s="143">
        <f>+O160</f>
        <v>860822379355.84607</v>
      </c>
      <c r="P13" s="143">
        <f>+P160</f>
        <v>981122685054.69434</v>
      </c>
      <c r="Q13" s="144">
        <f>+Q160</f>
        <v>1072963287082.887</v>
      </c>
      <c r="V13" s="291">
        <f>SUMIF(EPI!$B$2:$B$372,PRY!$A13,EPI!H$2:H$372)</f>
        <v>25124482766</v>
      </c>
    </row>
    <row r="14" spans="1:22" hidden="1" outlineLevel="1" x14ac:dyDescent="0.25">
      <c r="A14" s="107" t="s">
        <v>992</v>
      </c>
      <c r="B14" s="140" t="s">
        <v>1057</v>
      </c>
      <c r="C14" s="140" t="s">
        <v>11</v>
      </c>
      <c r="D14" s="149">
        <f>SUMIF(EPI!$B$2:$B$372,PRY!$A14,EPI!E$2:E$372)</f>
        <v>4067242956</v>
      </c>
      <c r="E14" s="146">
        <f>SUMIF(EPI!$B$2:$B$372,PRY!$A14,EPI!F$2:F$372)</f>
        <v>5422283274</v>
      </c>
      <c r="F14" s="146">
        <f>SUMIF(EPI!$B$2:$B$372,PRY!$A14,EPI!G$2:G$372)</f>
        <v>23810873117</v>
      </c>
      <c r="G14" s="146">
        <v>0</v>
      </c>
      <c r="H14" s="146">
        <v>0</v>
      </c>
      <c r="I14" s="146">
        <v>0</v>
      </c>
      <c r="J14" s="146">
        <v>0</v>
      </c>
      <c r="K14" s="146">
        <v>0</v>
      </c>
      <c r="L14" s="146">
        <v>0</v>
      </c>
      <c r="M14" s="146">
        <v>0</v>
      </c>
      <c r="N14" s="146">
        <v>0</v>
      </c>
      <c r="O14" s="146">
        <v>0</v>
      </c>
      <c r="P14" s="146">
        <v>0</v>
      </c>
      <c r="Q14" s="147">
        <v>0</v>
      </c>
      <c r="V14" s="291">
        <f>SUMIF(EPI!$B$2:$B$372,PRY!$A14,EPI!H$2:H$372)</f>
        <v>21203284184</v>
      </c>
    </row>
    <row r="15" spans="1:22" hidden="1" outlineLevel="1" x14ac:dyDescent="0.25">
      <c r="A15" s="107"/>
      <c r="B15" s="108"/>
      <c r="C15" s="108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1:22" s="16" customFormat="1" hidden="1" outlineLevel="1" x14ac:dyDescent="0.25">
      <c r="A16" s="261"/>
      <c r="B16" s="172" t="s">
        <v>1120</v>
      </c>
      <c r="C16" s="173" t="s">
        <v>11</v>
      </c>
      <c r="D16" s="177">
        <f>SUM(D17:D24)</f>
        <v>112804280817</v>
      </c>
      <c r="E16" s="175">
        <f t="shared" ref="E16:M16" si="4">SUM(E17:E24)</f>
        <v>156232780967</v>
      </c>
      <c r="F16" s="175">
        <f t="shared" si="4"/>
        <v>226327325388</v>
      </c>
      <c r="G16" s="175">
        <f t="shared" si="4"/>
        <v>246845823384.32352</v>
      </c>
      <c r="H16" s="175">
        <f t="shared" si="4"/>
        <v>266309966508.59122</v>
      </c>
      <c r="I16" s="175">
        <f t="shared" si="4"/>
        <v>255676308111.1268</v>
      </c>
      <c r="J16" s="175">
        <f t="shared" si="4"/>
        <v>235769877555.76254</v>
      </c>
      <c r="K16" s="175">
        <f t="shared" si="4"/>
        <v>216649904936.67456</v>
      </c>
      <c r="L16" s="175">
        <f t="shared" si="4"/>
        <v>195890015817.12744</v>
      </c>
      <c r="M16" s="175">
        <f t="shared" si="4"/>
        <v>202903101417.76074</v>
      </c>
      <c r="N16" s="175">
        <f>SUM(N17:N24)</f>
        <v>210162696977.25635</v>
      </c>
      <c r="O16" s="175">
        <f>SUM(O17:O24)</f>
        <v>217677467320.66818</v>
      </c>
      <c r="P16" s="175">
        <f>SUM(P17:P24)</f>
        <v>225456381841.65088</v>
      </c>
      <c r="Q16" s="176">
        <f>SUM(Q17:Q24)</f>
        <v>226601807640.56918</v>
      </c>
    </row>
    <row r="17" spans="1:22" s="463" customFormat="1" hidden="1" outlineLevel="1" x14ac:dyDescent="0.25">
      <c r="A17" s="458" t="s">
        <v>993</v>
      </c>
      <c r="B17" s="459" t="s">
        <v>1045</v>
      </c>
      <c r="C17" s="459" t="s">
        <v>11</v>
      </c>
      <c r="D17" s="460">
        <f>SUMIF(EPI!$B$2:$B$372,PRY!$A17,EPI!E$2:E$372)</f>
        <v>16218891608</v>
      </c>
      <c r="E17" s="461">
        <f>SUMIF(EPI!$B$2:$B$372,PRY!$A17,EPI!F$2:F$372)</f>
        <v>31258196065</v>
      </c>
      <c r="F17" s="461">
        <f>SUMIF(EPI!$B$2:$B$372,PRY!$A17,EPI!G$2:G$372)</f>
        <v>25926371412</v>
      </c>
      <c r="G17" s="461">
        <f t="shared" ref="G17:G23" si="5">+G413</f>
        <v>28690613303.321434</v>
      </c>
      <c r="H17" s="461">
        <f t="shared" ref="H17:M17" si="6">+H413</f>
        <v>30923088469.582973</v>
      </c>
      <c r="I17" s="461">
        <f t="shared" si="6"/>
        <v>33223623070.923195</v>
      </c>
      <c r="J17" s="461">
        <f t="shared" si="6"/>
        <v>34377671127.475349</v>
      </c>
      <c r="K17" s="461">
        <f t="shared" si="6"/>
        <v>35660774354.802086</v>
      </c>
      <c r="L17" s="461">
        <f t="shared" si="6"/>
        <v>36877414964.10627</v>
      </c>
      <c r="M17" s="461">
        <f t="shared" si="6"/>
        <v>38173656100.094604</v>
      </c>
      <c r="N17" s="461">
        <f t="shared" ref="N17:Q23" si="7">+N413</f>
        <v>39515460112.012924</v>
      </c>
      <c r="O17" s="461">
        <f t="shared" si="7"/>
        <v>40904428534.950172</v>
      </c>
      <c r="P17" s="461">
        <f t="shared" si="7"/>
        <v>42342219197.953674</v>
      </c>
      <c r="Q17" s="462">
        <f t="shared" si="7"/>
        <v>42553930293.943451</v>
      </c>
      <c r="V17" s="464">
        <f>SUMIF(EPI!$B$2:$B$372,PRY!$A17,EPI!H$2:H$372)</f>
        <v>26866145248</v>
      </c>
    </row>
    <row r="18" spans="1:22" s="463" customFormat="1" hidden="1" outlineLevel="1" x14ac:dyDescent="0.25">
      <c r="A18" s="458" t="s">
        <v>994</v>
      </c>
      <c r="B18" s="459" t="s">
        <v>1046</v>
      </c>
      <c r="C18" s="459" t="s">
        <v>11</v>
      </c>
      <c r="D18" s="460">
        <f>SUMIF(EPI!$B$2:$B$372,PRY!$A18,EPI!E$2:E$372)</f>
        <v>62334734215</v>
      </c>
      <c r="E18" s="461">
        <f>SUMIF(EPI!$B$2:$B$372,PRY!$A18,EPI!F$2:F$372)</f>
        <v>90240603705</v>
      </c>
      <c r="F18" s="461">
        <f>SUMIF(EPI!$B$2:$B$372,PRY!$A18,EPI!G$2:G$372)</f>
        <v>146790210063</v>
      </c>
      <c r="G18" s="461">
        <f t="shared" si="5"/>
        <v>158441649787.08865</v>
      </c>
      <c r="H18" s="461">
        <f t="shared" ref="H18:M18" si="8">+H414</f>
        <v>170744521152.6481</v>
      </c>
      <c r="I18" s="461">
        <f t="shared" si="8"/>
        <v>152731271833.19507</v>
      </c>
      <c r="J18" s="461">
        <f t="shared" si="8"/>
        <v>129122918013.25153</v>
      </c>
      <c r="K18" s="461">
        <f t="shared" si="8"/>
        <v>105887042541.47945</v>
      </c>
      <c r="L18" s="461">
        <f t="shared" si="8"/>
        <v>81224447507.179565</v>
      </c>
      <c r="M18" s="461">
        <f t="shared" si="8"/>
        <v>84079486837.0569</v>
      </c>
      <c r="N18" s="461">
        <f t="shared" si="7"/>
        <v>87034880799.379456</v>
      </c>
      <c r="O18" s="461">
        <f t="shared" si="7"/>
        <v>90094156859.477646</v>
      </c>
      <c r="P18" s="461">
        <f t="shared" si="7"/>
        <v>93260966473.088211</v>
      </c>
      <c r="Q18" s="462">
        <f t="shared" si="7"/>
        <v>93727271305.453674</v>
      </c>
      <c r="V18" s="464">
        <f>SUMIF(EPI!$B$2:$B$372,PRY!$A18,EPI!H$2:H$372)</f>
        <v>173211212259</v>
      </c>
    </row>
    <row r="19" spans="1:22" hidden="1" outlineLevel="1" x14ac:dyDescent="0.25">
      <c r="A19" s="107" t="s">
        <v>995</v>
      </c>
      <c r="B19" s="139" t="s">
        <v>1047</v>
      </c>
      <c r="C19" s="139" t="s">
        <v>11</v>
      </c>
      <c r="D19" s="150">
        <f>SUMIF(EPI!$B$2:$B$372,PRY!$A19,EPI!E$2:E$372)</f>
        <v>469567433</v>
      </c>
      <c r="E19" s="143">
        <f>SUMIF(EPI!$B$2:$B$372,PRY!$A19,EPI!F$2:F$372)</f>
        <v>1452749789</v>
      </c>
      <c r="F19" s="143">
        <f>SUMIF(EPI!$B$2:$B$372,PRY!$A19,EPI!G$2:G$372)</f>
        <v>4537380446</v>
      </c>
      <c r="G19" s="143">
        <f t="shared" si="5"/>
        <v>5021151078.8580437</v>
      </c>
      <c r="H19" s="143">
        <f t="shared" ref="H19:M19" si="9">+H415</f>
        <v>5411857090.3011742</v>
      </c>
      <c r="I19" s="143">
        <f t="shared" si="9"/>
        <v>5814474199.7141838</v>
      </c>
      <c r="J19" s="143">
        <f t="shared" si="9"/>
        <v>6016444425.4095707</v>
      </c>
      <c r="K19" s="143">
        <f t="shared" si="9"/>
        <v>6241000627.3305674</v>
      </c>
      <c r="L19" s="143">
        <f t="shared" si="9"/>
        <v>6453925190.6156263</v>
      </c>
      <c r="M19" s="143">
        <f t="shared" si="9"/>
        <v>6680780661.0657654</v>
      </c>
      <c r="N19" s="143">
        <f t="shared" si="7"/>
        <v>6915610101.3022261</v>
      </c>
      <c r="O19" s="143">
        <f t="shared" si="7"/>
        <v>7158693796.362998</v>
      </c>
      <c r="P19" s="143">
        <f t="shared" si="7"/>
        <v>7410321883.3051577</v>
      </c>
      <c r="Q19" s="144">
        <f t="shared" si="7"/>
        <v>7447373492.7216845</v>
      </c>
      <c r="V19" s="291">
        <f>SUMIF(EPI!$B$2:$B$372,PRY!$A19,EPI!H$2:H$372)</f>
        <v>3013837646</v>
      </c>
    </row>
    <row r="20" spans="1:22" hidden="1" outlineLevel="1" x14ac:dyDescent="0.25">
      <c r="A20" s="107" t="s">
        <v>996</v>
      </c>
      <c r="B20" s="139" t="s">
        <v>1048</v>
      </c>
      <c r="C20" s="139" t="s">
        <v>11</v>
      </c>
      <c r="D20" s="150">
        <f>SUMIF(EPI!$B$2:$B$372,PRY!$A20,EPI!E$2:E$372)</f>
        <v>3888556016</v>
      </c>
      <c r="E20" s="143">
        <f>SUMIF(EPI!$B$2:$B$372,PRY!$A20,EPI!F$2:F$372)</f>
        <v>859678176</v>
      </c>
      <c r="F20" s="143">
        <f>SUMIF(EPI!$B$2:$B$372,PRY!$A20,EPI!G$2:G$372)</f>
        <v>859678176</v>
      </c>
      <c r="G20" s="143">
        <f t="shared" si="5"/>
        <v>951336140.37113845</v>
      </c>
      <c r="H20" s="143">
        <f t="shared" ref="H20:M20" si="10">+H416</f>
        <v>1025361546.7189281</v>
      </c>
      <c r="I20" s="143">
        <f t="shared" si="10"/>
        <v>1101643698.1421568</v>
      </c>
      <c r="J20" s="143">
        <f t="shared" si="10"/>
        <v>1139910137.8420026</v>
      </c>
      <c r="K20" s="143">
        <f t="shared" si="10"/>
        <v>1182455846.4010265</v>
      </c>
      <c r="L20" s="143">
        <f t="shared" si="10"/>
        <v>1222797757.856096</v>
      </c>
      <c r="M20" s="143">
        <f t="shared" si="10"/>
        <v>1265779099.0447378</v>
      </c>
      <c r="N20" s="143">
        <f t="shared" si="7"/>
        <v>1310271234.3761601</v>
      </c>
      <c r="O20" s="143">
        <f t="shared" si="7"/>
        <v>1356327268.2644818</v>
      </c>
      <c r="P20" s="143">
        <f t="shared" si="7"/>
        <v>1404002171.7439783</v>
      </c>
      <c r="Q20" s="144">
        <f t="shared" si="7"/>
        <v>1411022182.6026983</v>
      </c>
      <c r="V20" s="291">
        <f>SUMIF(EPI!$B$2:$B$372,PRY!$A20,EPI!H$2:H$372)</f>
        <v>859678176</v>
      </c>
    </row>
    <row r="21" spans="1:22" hidden="1" outlineLevel="1" x14ac:dyDescent="0.25">
      <c r="A21" s="107" t="s">
        <v>998</v>
      </c>
      <c r="B21" s="139" t="s">
        <v>1049</v>
      </c>
      <c r="C21" s="139" t="s">
        <v>11</v>
      </c>
      <c r="D21" s="150">
        <f>SUMIF(EPI!$B$2:$B$372,PRY!$A21,EPI!E$2:E$372)</f>
        <v>33640723251</v>
      </c>
      <c r="E21" s="143">
        <f>SUMIF(EPI!$B$2:$B$372,PRY!$A21,EPI!F$2:F$372)</f>
        <v>35161524597</v>
      </c>
      <c r="F21" s="143">
        <f>SUMIF(EPI!$B$2:$B$372,PRY!$A21,EPI!G$2:G$372)</f>
        <v>42966886995</v>
      </c>
      <c r="G21" s="143">
        <f t="shared" si="5"/>
        <v>47547970366.978546</v>
      </c>
      <c r="H21" s="143">
        <f t="shared" ref="H21:M21" si="11">+H417</f>
        <v>51247774966.071259</v>
      </c>
      <c r="I21" s="143">
        <f t="shared" si="11"/>
        <v>55060372134.91848</v>
      </c>
      <c r="J21" s="143">
        <f t="shared" si="11"/>
        <v>56972936436.520866</v>
      </c>
      <c r="K21" s="143">
        <f t="shared" si="11"/>
        <v>59099379450.677116</v>
      </c>
      <c r="L21" s="143">
        <f t="shared" si="11"/>
        <v>61115676245.272339</v>
      </c>
      <c r="M21" s="143">
        <f t="shared" si="11"/>
        <v>63263892265.293663</v>
      </c>
      <c r="N21" s="143">
        <f t="shared" si="7"/>
        <v>65487618078.418724</v>
      </c>
      <c r="O21" s="143">
        <f t="shared" si="7"/>
        <v>67789507853.87513</v>
      </c>
      <c r="P21" s="143">
        <f t="shared" si="7"/>
        <v>70172309054.938843</v>
      </c>
      <c r="Q21" s="144">
        <f t="shared" si="7"/>
        <v>70523170600.213547</v>
      </c>
      <c r="V21" s="291">
        <f>SUMIF(EPI!$B$2:$B$372,PRY!$A21,EPI!H$2:H$372)</f>
        <v>43371321915</v>
      </c>
    </row>
    <row r="22" spans="1:22" hidden="1" outlineLevel="1" x14ac:dyDescent="0.25">
      <c r="A22" s="107" t="s">
        <v>997</v>
      </c>
      <c r="B22" s="139" t="s">
        <v>1050</v>
      </c>
      <c r="C22" s="139" t="s">
        <v>11</v>
      </c>
      <c r="D22" s="150">
        <f>SUMIF(EPI!$B$2:$B$372,PRY!$A22,EPI!E$2:E$372)</f>
        <v>6537408745</v>
      </c>
      <c r="E22" s="143">
        <f>SUMIF(EPI!$B$2:$B$372,PRY!$A22,EPI!F$2:F$372)</f>
        <v>8006883218</v>
      </c>
      <c r="F22" s="143">
        <f>SUMIF(EPI!$B$2:$B$372,PRY!$A22,EPI!G$2:G$372)</f>
        <v>7921629663</v>
      </c>
      <c r="G22" s="143">
        <f t="shared" si="5"/>
        <v>8766225314.8182087</v>
      </c>
      <c r="H22" s="143">
        <f t="shared" ref="H22:M22" si="12">+H418</f>
        <v>9448343194.6377831</v>
      </c>
      <c r="I22" s="143">
        <f t="shared" si="12"/>
        <v>10151256180.382469</v>
      </c>
      <c r="J22" s="143">
        <f t="shared" si="12"/>
        <v>10503867857.968779</v>
      </c>
      <c r="K22" s="143">
        <f t="shared" si="12"/>
        <v>10895911481.22637</v>
      </c>
      <c r="L22" s="143">
        <f t="shared" si="12"/>
        <v>11267647895.347692</v>
      </c>
      <c r="M22" s="143">
        <f t="shared" si="12"/>
        <v>11663705718.869164</v>
      </c>
      <c r="N22" s="143">
        <f t="shared" si="7"/>
        <v>12073684974.887413</v>
      </c>
      <c r="O22" s="143">
        <f t="shared" si="7"/>
        <v>12498075001.754704</v>
      </c>
      <c r="P22" s="143">
        <f t="shared" si="7"/>
        <v>12937382338.066381</v>
      </c>
      <c r="Q22" s="144">
        <f t="shared" si="7"/>
        <v>13002069249.756716</v>
      </c>
      <c r="V22" s="291">
        <f>SUMIF(EPI!$B$2:$B$372,PRY!$A22,EPI!H$2:H$372)</f>
        <v>4848349813</v>
      </c>
    </row>
    <row r="23" spans="1:22" hidden="1" outlineLevel="1" x14ac:dyDescent="0.25">
      <c r="A23" s="107" t="s">
        <v>999</v>
      </c>
      <c r="B23" s="139" t="s">
        <v>424</v>
      </c>
      <c r="C23" s="139" t="s">
        <v>11</v>
      </c>
      <c r="D23" s="150">
        <f>SUMIF(EPI!$B$2:$B$372,PRY!$A23,EPI!E$2:E$372)</f>
        <v>1330608327</v>
      </c>
      <c r="E23" s="143">
        <f>SUMIF(EPI!$B$2:$B$372,PRY!$A23,EPI!F$2:F$372)</f>
        <v>1273576572</v>
      </c>
      <c r="F23" s="143">
        <f>SUMIF(EPI!$B$2:$B$372,PRY!$A23,EPI!G$2:G$372)</f>
        <v>953946575</v>
      </c>
      <c r="G23" s="143">
        <f t="shared" si="5"/>
        <v>1055655334.8875135</v>
      </c>
      <c r="H23" s="143">
        <f t="shared" ref="H23:M23" si="13">+H419</f>
        <v>1137798030.6309695</v>
      </c>
      <c r="I23" s="143">
        <f t="shared" si="13"/>
        <v>1222444935.8512554</v>
      </c>
      <c r="J23" s="143">
        <f t="shared" si="13"/>
        <v>1264907499.2944293</v>
      </c>
      <c r="K23" s="143">
        <f t="shared" si="13"/>
        <v>1312118576.7579441</v>
      </c>
      <c r="L23" s="143">
        <f t="shared" si="13"/>
        <v>1356884198.7498612</v>
      </c>
      <c r="M23" s="143">
        <f t="shared" si="13"/>
        <v>1404578678.3359189</v>
      </c>
      <c r="N23" s="143">
        <f t="shared" si="7"/>
        <v>1453949618.8794262</v>
      </c>
      <c r="O23" s="143">
        <f t="shared" si="7"/>
        <v>1505055947.9830377</v>
      </c>
      <c r="P23" s="143">
        <f t="shared" si="7"/>
        <v>1557958664.5546415</v>
      </c>
      <c r="Q23" s="144">
        <f t="shared" si="7"/>
        <v>1565748457.8774149</v>
      </c>
      <c r="V23" s="291">
        <f>SUMIF(EPI!$B$2:$B$372,PRY!$A23,EPI!H$2:H$372)</f>
        <v>1908971240</v>
      </c>
    </row>
    <row r="24" spans="1:22" hidden="1" outlineLevel="1" x14ac:dyDescent="0.25">
      <c r="A24" s="107" t="s">
        <v>1000</v>
      </c>
      <c r="B24" s="140" t="s">
        <v>1051</v>
      </c>
      <c r="C24" s="140" t="s">
        <v>11</v>
      </c>
      <c r="D24" s="151">
        <f>SUMIF(EPI!$B$2:$B$372,PRY!$A24,EPI!E$2:E$372)</f>
        <v>-11616208778</v>
      </c>
      <c r="E24" s="146">
        <f>SUMIF(EPI!$B$2:$B$372,PRY!$A24,EPI!F$2:F$372)</f>
        <v>-12020431155</v>
      </c>
      <c r="F24" s="146">
        <f>SUMIF(EPI!$B$2:$B$372,PRY!$A24,EPI!G$2:G$372)</f>
        <v>-3628777942</v>
      </c>
      <c r="G24" s="146">
        <f t="shared" ref="G24:Q24" si="14">+F24</f>
        <v>-3628777942</v>
      </c>
      <c r="H24" s="146">
        <f t="shared" si="14"/>
        <v>-3628777942</v>
      </c>
      <c r="I24" s="146">
        <f t="shared" si="14"/>
        <v>-3628777942</v>
      </c>
      <c r="J24" s="146">
        <f t="shared" si="14"/>
        <v>-3628777942</v>
      </c>
      <c r="K24" s="146">
        <f t="shared" si="14"/>
        <v>-3628777942</v>
      </c>
      <c r="L24" s="146">
        <f t="shared" si="14"/>
        <v>-3628777942</v>
      </c>
      <c r="M24" s="146">
        <f t="shared" si="14"/>
        <v>-3628777942</v>
      </c>
      <c r="N24" s="146">
        <f t="shared" si="14"/>
        <v>-3628777942</v>
      </c>
      <c r="O24" s="146">
        <f t="shared" si="14"/>
        <v>-3628777942</v>
      </c>
      <c r="P24" s="146">
        <f t="shared" si="14"/>
        <v>-3628777942</v>
      </c>
      <c r="Q24" s="147">
        <f t="shared" si="14"/>
        <v>-3628777942</v>
      </c>
      <c r="V24" s="291">
        <f>SUMIF(EPI!$B$2:$B$372,PRY!$A24,EPI!H$2:H$372)</f>
        <v>-5247869148</v>
      </c>
    </row>
    <row r="25" spans="1:22" hidden="1" outlineLevel="1" x14ac:dyDescent="0.25">
      <c r="A25" s="107"/>
      <c r="B25" s="108"/>
      <c r="C25" s="108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</row>
    <row r="26" spans="1:22" s="16" customFormat="1" hidden="1" outlineLevel="1" x14ac:dyDescent="0.25">
      <c r="A26" s="261"/>
      <c r="B26" s="172" t="s">
        <v>1072</v>
      </c>
      <c r="C26" s="173" t="s">
        <v>11</v>
      </c>
      <c r="D26" s="177">
        <f>SUM(D27:D28)</f>
        <v>186657194</v>
      </c>
      <c r="E26" s="175">
        <f t="shared" ref="E26:M26" si="15">SUM(E27:E28)</f>
        <v>749712579</v>
      </c>
      <c r="F26" s="175">
        <f t="shared" si="15"/>
        <v>811293776</v>
      </c>
      <c r="G26" s="175">
        <f t="shared" si="15"/>
        <v>1172787394.4681458</v>
      </c>
      <c r="H26" s="175">
        <f t="shared" si="15"/>
        <v>1446207970.5094631</v>
      </c>
      <c r="I26" s="175">
        <f t="shared" si="15"/>
        <v>1622818770.9330814</v>
      </c>
      <c r="J26" s="175">
        <f t="shared" si="15"/>
        <v>1671926909.047401</v>
      </c>
      <c r="K26" s="175">
        <f t="shared" si="15"/>
        <v>1590689602.896553</v>
      </c>
      <c r="L26" s="175">
        <f t="shared" si="15"/>
        <v>1588782830.0307746</v>
      </c>
      <c r="M26" s="175">
        <f t="shared" si="15"/>
        <v>1644740804.6195936</v>
      </c>
      <c r="N26" s="175">
        <f>SUM(N27:N28)</f>
        <v>1702558154.3413267</v>
      </c>
      <c r="O26" s="175">
        <f>SUM(O27:O28)</f>
        <v>1762238898.0018454</v>
      </c>
      <c r="P26" s="175">
        <f>SUM(P27:P28)</f>
        <v>1824181595.2666101</v>
      </c>
      <c r="Q26" s="176">
        <f>SUM(Q27:Q28)</f>
        <v>1865542151.5312157</v>
      </c>
    </row>
    <row r="27" spans="1:22" hidden="1" outlineLevel="1" x14ac:dyDescent="0.25">
      <c r="A27" s="107" t="s">
        <v>1001</v>
      </c>
      <c r="B27" s="139" t="s">
        <v>1052</v>
      </c>
      <c r="C27" s="139" t="s">
        <v>11</v>
      </c>
      <c r="D27" s="150">
        <f>SUMIF(EPI!$B$2:$B$372,PRY!$A27,EPI!E$2:E$372)</f>
        <v>374245259</v>
      </c>
      <c r="E27" s="143">
        <f>SUMIF(EPI!$B$2:$B$372,PRY!$A27,EPI!F$2:F$372)</f>
        <v>981987430</v>
      </c>
      <c r="F27" s="143">
        <f>SUMIF(EPI!$B$2:$B$372,PRY!$A27,EPI!G$2:G$372)</f>
        <v>915936918</v>
      </c>
      <c r="G27" s="143">
        <f>+G493</f>
        <v>1555303941.0851822</v>
      </c>
      <c r="H27" s="143">
        <f t="shared" ref="H27:M27" si="16">+H493</f>
        <v>2244421416.9081244</v>
      </c>
      <c r="I27" s="143">
        <f t="shared" si="16"/>
        <v>2984806042.1646786</v>
      </c>
      <c r="J27" s="143">
        <f t="shared" si="16"/>
        <v>3750908495.8487477</v>
      </c>
      <c r="K27" s="143">
        <f t="shared" si="16"/>
        <v>4545604757.6223745</v>
      </c>
      <c r="L27" s="143">
        <f t="shared" si="16"/>
        <v>5367413715.6744499</v>
      </c>
      <c r="M27" s="143">
        <f t="shared" si="16"/>
        <v>6218109258.6020555</v>
      </c>
      <c r="N27" s="143">
        <f t="shared" ref="N27:Q28" si="17">+N493</f>
        <v>7098706749.8635654</v>
      </c>
      <c r="O27" s="143">
        <f t="shared" si="17"/>
        <v>8010257242.9429178</v>
      </c>
      <c r="P27" s="143">
        <f t="shared" si="17"/>
        <v>8953848735.8540096</v>
      </c>
      <c r="Q27" s="144">
        <f t="shared" si="17"/>
        <v>9902158186.2296562</v>
      </c>
      <c r="V27" s="291">
        <f>SUMIF(EPI!$B$2:$B$372,PRY!$A27,EPI!H$2:H$372)</f>
        <v>922593401</v>
      </c>
    </row>
    <row r="28" spans="1:22" hidden="1" outlineLevel="1" x14ac:dyDescent="0.25">
      <c r="A28" s="107" t="s">
        <v>1002</v>
      </c>
      <c r="B28" s="140" t="s">
        <v>1053</v>
      </c>
      <c r="C28" s="140" t="s">
        <v>11</v>
      </c>
      <c r="D28" s="151">
        <f>SUMIF(EPI!$B$2:$B$372,PRY!$A28,EPI!E$2:E$372)</f>
        <v>-187588065</v>
      </c>
      <c r="E28" s="146">
        <f>SUMIF(EPI!$B$2:$B$372,PRY!$A28,EPI!F$2:F$372)</f>
        <v>-232274851</v>
      </c>
      <c r="F28" s="146">
        <f>SUMIF(EPI!$B$2:$B$372,PRY!$A28,EPI!G$2:G$372)</f>
        <v>-104643142</v>
      </c>
      <c r="G28" s="146">
        <f>+G494</f>
        <v>-382516546.61703646</v>
      </c>
      <c r="H28" s="146">
        <f t="shared" ref="H28:M28" si="18">+H494</f>
        <v>-798213446.39866138</v>
      </c>
      <c r="I28" s="146">
        <f t="shared" si="18"/>
        <v>-1361987271.2315972</v>
      </c>
      <c r="J28" s="146">
        <f t="shared" si="18"/>
        <v>-2078981586.8013468</v>
      </c>
      <c r="K28" s="146">
        <f t="shared" si="18"/>
        <v>-2954915154.7258215</v>
      </c>
      <c r="L28" s="146">
        <f t="shared" si="18"/>
        <v>-3778630885.6436753</v>
      </c>
      <c r="M28" s="146">
        <f t="shared" si="18"/>
        <v>-4573368453.9824619</v>
      </c>
      <c r="N28" s="146">
        <f t="shared" si="17"/>
        <v>-5396148595.5222387</v>
      </c>
      <c r="O28" s="146">
        <f t="shared" si="17"/>
        <v>-6248018344.9410725</v>
      </c>
      <c r="P28" s="146">
        <f t="shared" si="17"/>
        <v>-7129667140.5873995</v>
      </c>
      <c r="Q28" s="147">
        <f t="shared" si="17"/>
        <v>-8036616034.6984406</v>
      </c>
      <c r="V28" s="291">
        <f>SUMIF(EPI!$B$2:$B$372,PRY!$A28,EPI!H$2:H$372)</f>
        <v>-152047666</v>
      </c>
    </row>
    <row r="29" spans="1:22" hidden="1" outlineLevel="1" x14ac:dyDescent="0.25">
      <c r="B29" s="108"/>
      <c r="C29" s="108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</row>
    <row r="30" spans="1:22" s="16" customFormat="1" hidden="1" outlineLevel="1" x14ac:dyDescent="0.25">
      <c r="B30" s="172" t="s">
        <v>150</v>
      </c>
      <c r="C30" s="173" t="s">
        <v>11</v>
      </c>
      <c r="D30" s="177">
        <f>SUM(D31:D33)</f>
        <v>66227116643</v>
      </c>
      <c r="E30" s="175">
        <f t="shared" ref="E30:M30" si="19">SUM(E31:E33)</f>
        <v>55723908783</v>
      </c>
      <c r="F30" s="175">
        <f t="shared" si="19"/>
        <v>44944686461</v>
      </c>
      <c r="G30" s="175">
        <f t="shared" si="19"/>
        <v>47826285312.835533</v>
      </c>
      <c r="H30" s="175">
        <f t="shared" si="19"/>
        <v>49847397455.307022</v>
      </c>
      <c r="I30" s="175">
        <f t="shared" si="19"/>
        <v>51930125401.047508</v>
      </c>
      <c r="J30" s="175">
        <f t="shared" si="19"/>
        <v>52974912180.915298</v>
      </c>
      <c r="K30" s="175">
        <f t="shared" si="19"/>
        <v>54136535634.553589</v>
      </c>
      <c r="L30" s="175">
        <f t="shared" si="19"/>
        <v>55237988920.86554</v>
      </c>
      <c r="M30" s="175">
        <f t="shared" si="19"/>
        <v>56411506431.433968</v>
      </c>
      <c r="N30" s="175">
        <f>SUM(N31:N33)</f>
        <v>57626273082.498856</v>
      </c>
      <c r="O30" s="175">
        <f>SUM(O31:O33)</f>
        <v>58883738781.348686</v>
      </c>
      <c r="P30" s="175">
        <f>SUM(P31:P33)</f>
        <v>60185404399.513092</v>
      </c>
      <c r="Q30" s="176">
        <f>SUM(Q31:Q33)</f>
        <v>60377071421.510658</v>
      </c>
    </row>
    <row r="31" spans="1:22" hidden="1" outlineLevel="1" x14ac:dyDescent="0.25">
      <c r="A31" s="107" t="s">
        <v>1003</v>
      </c>
      <c r="B31" s="139" t="s">
        <v>1055</v>
      </c>
      <c r="C31" s="139" t="s">
        <v>11</v>
      </c>
      <c r="D31" s="150">
        <f>SUMIF(EPI!$B$2:$B$372,PRY!$A31,EPI!E$2:E$372)</f>
        <v>44893014070</v>
      </c>
      <c r="E31" s="143">
        <f>SUMIF(EPI!$B$2:$B$372,PRY!$A31,EPI!F$2:F$372)</f>
        <v>33658167614</v>
      </c>
      <c r="F31" s="143">
        <f>SUMIF(EPI!$B$2:$B$372,PRY!$A31,EPI!G$2:G$372)</f>
        <v>19662581082</v>
      </c>
      <c r="G31" s="143">
        <f>+G463</f>
        <v>22200243857.124386</v>
      </c>
      <c r="H31" s="143">
        <f t="shared" ref="H31:M31" si="20">+H463</f>
        <v>23927690132.741047</v>
      </c>
      <c r="I31" s="143">
        <f t="shared" si="20"/>
        <v>25707799488.074795</v>
      </c>
      <c r="J31" s="143">
        <f t="shared" si="20"/>
        <v>26600779641.807945</v>
      </c>
      <c r="K31" s="143">
        <f t="shared" si="20"/>
        <v>27593620200.473152</v>
      </c>
      <c r="L31" s="143">
        <f t="shared" si="20"/>
        <v>28535033265.697044</v>
      </c>
      <c r="M31" s="143">
        <f t="shared" si="20"/>
        <v>29538039684.986298</v>
      </c>
      <c r="N31" s="143">
        <f t="shared" ref="N31:Q32" si="21">+N463</f>
        <v>30576301779.913555</v>
      </c>
      <c r="O31" s="143">
        <f t="shared" si="21"/>
        <v>31651058787.477512</v>
      </c>
      <c r="P31" s="143">
        <f t="shared" si="21"/>
        <v>32763593503.857346</v>
      </c>
      <c r="Q31" s="144">
        <f t="shared" si="21"/>
        <v>32927411471.376633</v>
      </c>
      <c r="V31" s="291">
        <f>SUMIF(EPI!$B$2:$B$372,PRY!$A31,EPI!H$2:H$372)</f>
        <v>18373607177</v>
      </c>
    </row>
    <row r="32" spans="1:22" hidden="1" outlineLevel="1" x14ac:dyDescent="0.25">
      <c r="A32" s="107" t="s">
        <v>1054</v>
      </c>
      <c r="B32" s="139" t="s">
        <v>1056</v>
      </c>
      <c r="C32" s="139" t="s">
        <v>11</v>
      </c>
      <c r="D32" s="150">
        <f>SUMIF(EPI!$B$2:$B$372,PRY!$A32,EPI!E$2:E$372)</f>
        <v>0</v>
      </c>
      <c r="E32" s="143">
        <f>SUMIF(EPI!$B$2:$B$372,PRY!$A32,EPI!F$2:F$372)</f>
        <v>961610946</v>
      </c>
      <c r="F32" s="143">
        <f>SUMIF(EPI!$B$2:$B$372,PRY!$A32,EPI!G$2:G$372)</f>
        <v>3430105379</v>
      </c>
      <c r="G32" s="143">
        <f>+G464</f>
        <v>3774041455.7111454</v>
      </c>
      <c r="H32" s="143">
        <f t="shared" ref="H32:M32" si="22">+H464</f>
        <v>4067707322.5659776</v>
      </c>
      <c r="I32" s="143">
        <f t="shared" si="22"/>
        <v>4370325912.9727144</v>
      </c>
      <c r="J32" s="143">
        <f t="shared" si="22"/>
        <v>4522132539.1073513</v>
      </c>
      <c r="K32" s="143">
        <f t="shared" si="22"/>
        <v>4690915434.0804358</v>
      </c>
      <c r="L32" s="143">
        <f t="shared" si="22"/>
        <v>4850955655.168498</v>
      </c>
      <c r="M32" s="143">
        <f t="shared" si="22"/>
        <v>5021466746.44767</v>
      </c>
      <c r="N32" s="143">
        <f t="shared" si="21"/>
        <v>5197971302.5853043</v>
      </c>
      <c r="O32" s="143">
        <f t="shared" si="21"/>
        <v>5380679993.8711767</v>
      </c>
      <c r="P32" s="143">
        <f t="shared" si="21"/>
        <v>5569810895.6557484</v>
      </c>
      <c r="Q32" s="144">
        <f t="shared" si="21"/>
        <v>5597659950.1340275</v>
      </c>
      <c r="V32" s="291">
        <f>SUMIF(EPI!$B$2:$B$372,PRY!$A32,EPI!H$2:H$372)</f>
        <v>4403460935</v>
      </c>
    </row>
    <row r="33" spans="1:22" hidden="1" outlineLevel="1" x14ac:dyDescent="0.25">
      <c r="A33" s="107" t="s">
        <v>1004</v>
      </c>
      <c r="B33" s="140" t="s">
        <v>169</v>
      </c>
      <c r="C33" s="140" t="s">
        <v>11</v>
      </c>
      <c r="D33" s="151">
        <f>SUMIF(EPI!$B$2:$B$372,PRY!$A33,EPI!E$2:E$372)</f>
        <v>21334102573</v>
      </c>
      <c r="E33" s="146">
        <f>SUMIF(EPI!$B$2:$B$372,PRY!$A33,EPI!F$2:F$372)</f>
        <v>21104130223</v>
      </c>
      <c r="F33" s="146">
        <f>SUMIF(EPI!$B$2:$B$372,PRY!$A33,EPI!G$2:G$372)</f>
        <v>21852000000</v>
      </c>
      <c r="G33" s="146">
        <f t="shared" ref="G33:Q33" si="23">+F33</f>
        <v>21852000000</v>
      </c>
      <c r="H33" s="146">
        <f t="shared" si="23"/>
        <v>21852000000</v>
      </c>
      <c r="I33" s="146">
        <f t="shared" si="23"/>
        <v>21852000000</v>
      </c>
      <c r="J33" s="146">
        <f t="shared" si="23"/>
        <v>21852000000</v>
      </c>
      <c r="K33" s="146">
        <f t="shared" si="23"/>
        <v>21852000000</v>
      </c>
      <c r="L33" s="146">
        <f t="shared" si="23"/>
        <v>21852000000</v>
      </c>
      <c r="M33" s="146">
        <f t="shared" si="23"/>
        <v>21852000000</v>
      </c>
      <c r="N33" s="146">
        <f t="shared" si="23"/>
        <v>21852000000</v>
      </c>
      <c r="O33" s="146">
        <f t="shared" si="23"/>
        <v>21852000000</v>
      </c>
      <c r="P33" s="146">
        <f t="shared" si="23"/>
        <v>21852000000</v>
      </c>
      <c r="Q33" s="147">
        <f t="shared" si="23"/>
        <v>21852000000</v>
      </c>
      <c r="V33" s="291">
        <f>SUMIF(EPI!$B$2:$B$372,PRY!$A33,EPI!H$2:H$372)</f>
        <v>21852000000</v>
      </c>
    </row>
    <row r="34" spans="1:22" hidden="1" outlineLevel="1" x14ac:dyDescent="0.25">
      <c r="A34" s="107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</row>
    <row r="35" spans="1:22" s="16" customFormat="1" hidden="1" outlineLevel="1" x14ac:dyDescent="0.25">
      <c r="A35" s="261"/>
      <c r="B35" s="152" t="s">
        <v>1096</v>
      </c>
      <c r="C35" s="138" t="s">
        <v>11</v>
      </c>
      <c r="D35" s="153">
        <f>+D37+D42</f>
        <v>359546196656</v>
      </c>
      <c r="E35" s="134">
        <f t="shared" ref="E35:M35" si="24">+E37+E42</f>
        <v>522189162208</v>
      </c>
      <c r="F35" s="134">
        <f t="shared" si="24"/>
        <v>983909878171.19678</v>
      </c>
      <c r="G35" s="134">
        <f t="shared" si="24"/>
        <v>1068288654619.7548</v>
      </c>
      <c r="H35" s="134">
        <f t="shared" si="24"/>
        <v>1123400414891.8254</v>
      </c>
      <c r="I35" s="134">
        <f t="shared" si="24"/>
        <v>1125790765719.4465</v>
      </c>
      <c r="J35" s="134">
        <f t="shared" si="24"/>
        <v>1200285043612.718</v>
      </c>
      <c r="K35" s="134">
        <f t="shared" si="24"/>
        <v>1195979361351.063</v>
      </c>
      <c r="L35" s="134">
        <f t="shared" si="24"/>
        <v>1187396960288.406</v>
      </c>
      <c r="M35" s="134">
        <f t="shared" si="24"/>
        <v>1179280306068.3289</v>
      </c>
      <c r="N35" s="134">
        <f>+N37+N42</f>
        <v>1206786549330.0928</v>
      </c>
      <c r="O35" s="134">
        <f>+O37+O42</f>
        <v>1242416007182.0955</v>
      </c>
      <c r="P35" s="134">
        <f t="shared" ref="P35:V35" si="25">+P37+P42</f>
        <v>1281409411819.6372</v>
      </c>
      <c r="Q35" s="135">
        <f t="shared" si="25"/>
        <v>1287731090209.6321</v>
      </c>
      <c r="V35" s="135">
        <f t="shared" si="25"/>
        <v>975820431517.19678</v>
      </c>
    </row>
    <row r="36" spans="1:22" hidden="1" outlineLevel="1" x14ac:dyDescent="0.25">
      <c r="A36" s="107"/>
      <c r="B36" s="108"/>
      <c r="C36" s="108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</row>
    <row r="37" spans="1:22" s="16" customFormat="1" hidden="1" outlineLevel="1" x14ac:dyDescent="0.25">
      <c r="A37" s="261"/>
      <c r="B37" s="172" t="s">
        <v>1070</v>
      </c>
      <c r="C37" s="173" t="s">
        <v>11</v>
      </c>
      <c r="D37" s="177">
        <f>SUM(D38:D40)</f>
        <v>324534582843</v>
      </c>
      <c r="E37" s="175">
        <f t="shared" ref="E37:M37" si="26">SUM(E38:E40)</f>
        <v>510380337595</v>
      </c>
      <c r="F37" s="175">
        <f t="shared" si="26"/>
        <v>961509589128.19678</v>
      </c>
      <c r="G37" s="175">
        <f t="shared" si="26"/>
        <v>1043783807372.6614</v>
      </c>
      <c r="H37" s="175">
        <f t="shared" si="26"/>
        <v>1096485333413.5554</v>
      </c>
      <c r="I37" s="175">
        <f t="shared" si="26"/>
        <v>1098924227871.3896</v>
      </c>
      <c r="J37" s="175">
        <f t="shared" si="26"/>
        <v>1172741551922.501</v>
      </c>
      <c r="K37" s="175">
        <f t="shared" si="26"/>
        <v>1167784301448.1782</v>
      </c>
      <c r="L37" s="175">
        <f t="shared" si="26"/>
        <v>1158537035343.5718</v>
      </c>
      <c r="M37" s="175">
        <f t="shared" si="26"/>
        <v>1149725576650.7688</v>
      </c>
      <c r="N37" s="175">
        <f>SUM(N38:N40)</f>
        <v>1176509910819.3809</v>
      </c>
      <c r="O37" s="175">
        <f>SUM(O38:O40)</f>
        <v>1211389294907.1062</v>
      </c>
      <c r="P37" s="175">
        <f t="shared" ref="P37:V37" si="27">SUM(P38:P40)</f>
        <v>1249603359503.825</v>
      </c>
      <c r="Q37" s="176">
        <f t="shared" si="27"/>
        <v>1255253581912.054</v>
      </c>
      <c r="V37" s="176">
        <f t="shared" si="27"/>
        <v>960603235601.19678</v>
      </c>
    </row>
    <row r="38" spans="1:22" hidden="1" outlineLevel="1" x14ac:dyDescent="0.25">
      <c r="A38" s="107" t="s">
        <v>1008</v>
      </c>
      <c r="B38" s="139" t="s">
        <v>1058</v>
      </c>
      <c r="C38" s="139" t="s">
        <v>11</v>
      </c>
      <c r="D38" s="150">
        <f>SUMIF(EPI!$B$2:$B$372,PRY!$A38,EPI!E$2:E$372)</f>
        <v>231337558977</v>
      </c>
      <c r="E38" s="143">
        <f>SUMIF(EPI!$B$2:$B$372,PRY!$A38,EPI!F$2:F$372)</f>
        <v>367888340238</v>
      </c>
      <c r="F38" s="143">
        <f>SUMIF(EPI!$B$2:$B$372,PRY!$A38,EPI!G$2:G$372)</f>
        <v>632774601960</v>
      </c>
      <c r="G38" s="143">
        <f t="shared" ref="G38:Q38" si="28">+G436-G53</f>
        <v>697011445018.61145</v>
      </c>
      <c r="H38" s="143">
        <f t="shared" si="28"/>
        <v>735145507809.13525</v>
      </c>
      <c r="I38" s="143">
        <f t="shared" si="28"/>
        <v>722572834045.42944</v>
      </c>
      <c r="J38" s="143">
        <f t="shared" si="28"/>
        <v>788859703600.53979</v>
      </c>
      <c r="K38" s="143">
        <f t="shared" si="28"/>
        <v>775529881107.05566</v>
      </c>
      <c r="L38" s="143">
        <f>+L436-L53</f>
        <v>758343728320.62061</v>
      </c>
      <c r="M38" s="143">
        <f t="shared" si="28"/>
        <v>741073969442.66956</v>
      </c>
      <c r="N38" s="143">
        <f t="shared" si="28"/>
        <v>759102694174.62561</v>
      </c>
      <c r="O38" s="143">
        <f t="shared" si="28"/>
        <v>784918709153.99658</v>
      </c>
      <c r="P38" s="143">
        <f t="shared" si="28"/>
        <v>813750827218.20215</v>
      </c>
      <c r="Q38" s="144">
        <f t="shared" si="28"/>
        <v>818019581354.29309</v>
      </c>
      <c r="V38" s="291">
        <f>SUMIF(EPI!$B$2:$B$372,PRY!$A38,EPI!H$2:H$372)</f>
        <v>646093054781</v>
      </c>
    </row>
    <row r="39" spans="1:22" s="463" customFormat="1" hidden="1" outlineLevel="1" x14ac:dyDescent="0.25">
      <c r="A39" s="458" t="s">
        <v>1011</v>
      </c>
      <c r="B39" s="459" t="s">
        <v>1059</v>
      </c>
      <c r="C39" s="459" t="s">
        <v>11</v>
      </c>
      <c r="D39" s="460">
        <f>SUMIF(EPI!$B$2:$B$372,PRY!$A39,EPI!E$2:E$372)</f>
        <v>0</v>
      </c>
      <c r="E39" s="461">
        <f>SUMIF(EPI!$B$2:$B$372,PRY!$A39,EPI!F$2:F$372)</f>
        <v>142266136916</v>
      </c>
      <c r="F39" s="461">
        <f>SUMIF(EPI!$B$2:$B$372,PRY!$A39,EPI!G$2:G$372)</f>
        <v>169176109310.19681</v>
      </c>
      <c r="G39" s="461">
        <f>+G440</f>
        <v>187213484496.0499</v>
      </c>
      <c r="H39" s="461">
        <f t="shared" ref="H39:M39" si="29">+H440</f>
        <v>201780947746.42023</v>
      </c>
      <c r="I39" s="461">
        <f t="shared" si="29"/>
        <v>216792515967.96027</v>
      </c>
      <c r="J39" s="461">
        <f t="shared" si="29"/>
        <v>224322970463.9613</v>
      </c>
      <c r="K39" s="461">
        <f t="shared" si="29"/>
        <v>232695542483.12259</v>
      </c>
      <c r="L39" s="461">
        <f t="shared" si="29"/>
        <v>240634429164.95123</v>
      </c>
      <c r="M39" s="461">
        <f t="shared" si="29"/>
        <v>249092729350.09927</v>
      </c>
      <c r="N39" s="461">
        <f>+N440</f>
        <v>257848338786.75522</v>
      </c>
      <c r="O39" s="461">
        <f>+O440</f>
        <v>266911707895.10962</v>
      </c>
      <c r="P39" s="461">
        <f>+P440</f>
        <v>276293654427.62274</v>
      </c>
      <c r="Q39" s="462">
        <f>+Q440</f>
        <v>277675122699.76086</v>
      </c>
      <c r="V39" s="464">
        <f>SUMIF(EPI!$B$2:$B$372,PRY!$A39,EPI!H$2:H$372)</f>
        <v>197198477004.19681</v>
      </c>
    </row>
    <row r="40" spans="1:22" hidden="1" outlineLevel="1" x14ac:dyDescent="0.25">
      <c r="A40" s="107" t="s">
        <v>1012</v>
      </c>
      <c r="B40" s="140" t="s">
        <v>1060</v>
      </c>
      <c r="C40" s="140" t="s">
        <v>11</v>
      </c>
      <c r="D40" s="151">
        <f>SUMIF(EPI!$B$2:$B$372,PRY!$A40,EPI!E$2:E$372)</f>
        <v>93197023866</v>
      </c>
      <c r="E40" s="146">
        <f>SUMIF(EPI!$B$2:$B$372,PRY!$A40,EPI!F$2:F$372)</f>
        <v>225860441</v>
      </c>
      <c r="F40" s="146">
        <f>SUMIF(EPI!$B$2:$B$372,PRY!$A40,EPI!G$2:G$372)</f>
        <v>159558877858</v>
      </c>
      <c r="G40" s="146">
        <f t="shared" ref="G40:Q40" si="30">+F40</f>
        <v>159558877858</v>
      </c>
      <c r="H40" s="146">
        <f t="shared" si="30"/>
        <v>159558877858</v>
      </c>
      <c r="I40" s="146">
        <f t="shared" si="30"/>
        <v>159558877858</v>
      </c>
      <c r="J40" s="146">
        <f t="shared" si="30"/>
        <v>159558877858</v>
      </c>
      <c r="K40" s="146">
        <f t="shared" si="30"/>
        <v>159558877858</v>
      </c>
      <c r="L40" s="146">
        <f t="shared" si="30"/>
        <v>159558877858</v>
      </c>
      <c r="M40" s="146">
        <f t="shared" si="30"/>
        <v>159558877858</v>
      </c>
      <c r="N40" s="146">
        <f t="shared" si="30"/>
        <v>159558877858</v>
      </c>
      <c r="O40" s="146">
        <f t="shared" si="30"/>
        <v>159558877858</v>
      </c>
      <c r="P40" s="146">
        <f t="shared" si="30"/>
        <v>159558877858</v>
      </c>
      <c r="Q40" s="147">
        <f t="shared" si="30"/>
        <v>159558877858</v>
      </c>
      <c r="V40" s="291">
        <f>SUMIF(EPI!$B$2:$B$372,PRY!$A40,EPI!H$2:H$372)</f>
        <v>117311703816</v>
      </c>
    </row>
    <row r="41" spans="1:22" hidden="1" outlineLevel="1" x14ac:dyDescent="0.25">
      <c r="A41" s="107"/>
      <c r="B41" s="108"/>
      <c r="C41" s="108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</row>
    <row r="42" spans="1:22" s="16" customFormat="1" hidden="1" outlineLevel="1" x14ac:dyDescent="0.25">
      <c r="A42" s="261"/>
      <c r="B42" s="172" t="s">
        <v>1071</v>
      </c>
      <c r="C42" s="173" t="s">
        <v>11</v>
      </c>
      <c r="D42" s="177">
        <f>SUM(D43:D48)</f>
        <v>35011613813</v>
      </c>
      <c r="E42" s="175">
        <f t="shared" ref="E42:M42" si="31">SUM(E43:E48)</f>
        <v>11808824613</v>
      </c>
      <c r="F42" s="175">
        <f t="shared" si="31"/>
        <v>22400289043</v>
      </c>
      <c r="G42" s="175">
        <f t="shared" si="31"/>
        <v>24504847247.09341</v>
      </c>
      <c r="H42" s="175">
        <f t="shared" si="31"/>
        <v>26915081478.270058</v>
      </c>
      <c r="I42" s="175">
        <f t="shared" si="31"/>
        <v>26866537848.056805</v>
      </c>
      <c r="J42" s="175">
        <f t="shared" si="31"/>
        <v>27543491690.217125</v>
      </c>
      <c r="K42" s="175">
        <f t="shared" si="31"/>
        <v>28195059902.884811</v>
      </c>
      <c r="L42" s="175">
        <f t="shared" si="31"/>
        <v>28859924944.83411</v>
      </c>
      <c r="M42" s="175">
        <f t="shared" si="31"/>
        <v>29554729417.560032</v>
      </c>
      <c r="N42" s="175">
        <f>SUM(N43:N48)</f>
        <v>30276638510.711864</v>
      </c>
      <c r="O42" s="175">
        <f>SUM(O43:O48)</f>
        <v>31026712274.989189</v>
      </c>
      <c r="P42" s="175">
        <f t="shared" ref="P42:V42" si="32">SUM(P43:P48)</f>
        <v>31806052315.812214</v>
      </c>
      <c r="Q42" s="176">
        <f t="shared" si="32"/>
        <v>32477508297.578159</v>
      </c>
      <c r="V42" s="176">
        <f t="shared" si="32"/>
        <v>15217195916</v>
      </c>
    </row>
    <row r="43" spans="1:22" hidden="1" outlineLevel="1" x14ac:dyDescent="0.25">
      <c r="A43" s="107" t="s">
        <v>1005</v>
      </c>
      <c r="B43" s="139" t="s">
        <v>1061</v>
      </c>
      <c r="C43" s="139" t="s">
        <v>11</v>
      </c>
      <c r="D43" s="150">
        <f>SUMIF(EPI!$B$2:$B$372,PRY!$A43,EPI!E$2:E$372)</f>
        <v>23586277715</v>
      </c>
      <c r="E43" s="143">
        <f>SUMIF(EPI!$B$2:$B$372,PRY!$A43,EPI!F$2:F$372)</f>
        <v>0</v>
      </c>
      <c r="F43" s="143">
        <f>SUMIF(EPI!$B$2:$B$372,PRY!$A43,EPI!G$2:G$372)</f>
        <v>11000000000</v>
      </c>
      <c r="G43" s="143">
        <f t="shared" ref="G43:Q43" si="33">+F43</f>
        <v>11000000000</v>
      </c>
      <c r="H43" s="143">
        <f t="shared" si="33"/>
        <v>11000000000</v>
      </c>
      <c r="I43" s="143">
        <f t="shared" si="33"/>
        <v>11000000000</v>
      </c>
      <c r="J43" s="143">
        <f t="shared" si="33"/>
        <v>11000000000</v>
      </c>
      <c r="K43" s="143">
        <f t="shared" si="33"/>
        <v>11000000000</v>
      </c>
      <c r="L43" s="143">
        <f t="shared" si="33"/>
        <v>11000000000</v>
      </c>
      <c r="M43" s="143">
        <f t="shared" si="33"/>
        <v>11000000000</v>
      </c>
      <c r="N43" s="143">
        <f t="shared" si="33"/>
        <v>11000000000</v>
      </c>
      <c r="O43" s="143">
        <f t="shared" si="33"/>
        <v>11000000000</v>
      </c>
      <c r="P43" s="143">
        <f t="shared" si="33"/>
        <v>11000000000</v>
      </c>
      <c r="Q43" s="144">
        <f t="shared" si="33"/>
        <v>11000000000</v>
      </c>
      <c r="V43" s="291">
        <f>SUMIF(EPI!$B$2:$B$372,PRY!$A43,EPI!H$2:H$372)</f>
        <v>1680379586</v>
      </c>
    </row>
    <row r="44" spans="1:22" hidden="1" outlineLevel="1" x14ac:dyDescent="0.25">
      <c r="A44" s="107"/>
      <c r="B44" s="139" t="s">
        <v>1708</v>
      </c>
      <c r="C44" s="139" t="s">
        <v>11</v>
      </c>
      <c r="D44" s="150">
        <v>0</v>
      </c>
      <c r="E44" s="143">
        <v>0</v>
      </c>
      <c r="F44" s="143">
        <v>0</v>
      </c>
      <c r="G44" s="143">
        <v>0</v>
      </c>
      <c r="H44" s="143">
        <f>+H521</f>
        <v>0</v>
      </c>
      <c r="I44" s="143">
        <f t="shared" ref="I44:Q44" si="34">+I521</f>
        <v>0</v>
      </c>
      <c r="J44" s="143">
        <f t="shared" si="34"/>
        <v>0</v>
      </c>
      <c r="K44" s="143">
        <f t="shared" si="34"/>
        <v>0</v>
      </c>
      <c r="L44" s="143">
        <f t="shared" si="34"/>
        <v>0</v>
      </c>
      <c r="M44" s="143">
        <f t="shared" si="34"/>
        <v>0</v>
      </c>
      <c r="N44" s="143">
        <f t="shared" si="34"/>
        <v>0</v>
      </c>
      <c r="O44" s="143">
        <f t="shared" si="34"/>
        <v>0</v>
      </c>
      <c r="P44" s="143">
        <f t="shared" si="34"/>
        <v>0</v>
      </c>
      <c r="Q44" s="144">
        <f t="shared" si="34"/>
        <v>0</v>
      </c>
      <c r="V44" s="291">
        <f>SUMIF(EPI!$B$2:$B$372,PRY!$A44,EPI!H$2:H$372)</f>
        <v>0</v>
      </c>
    </row>
    <row r="45" spans="1:22" hidden="1" outlineLevel="1" x14ac:dyDescent="0.25">
      <c r="A45" s="107" t="s">
        <v>1007</v>
      </c>
      <c r="B45" s="139" t="s">
        <v>1062</v>
      </c>
      <c r="C45" s="139" t="s">
        <v>11</v>
      </c>
      <c r="D45" s="150">
        <f>SUMIF(EPI!$B$2:$B$372,PRY!$A45,EPI!E$2:E$372)</f>
        <v>319190782</v>
      </c>
      <c r="E45" s="143">
        <f>SUMIF(EPI!$B$2:$B$372,PRY!$A45,EPI!F$2:F$372)</f>
        <v>1168712162</v>
      </c>
      <c r="F45" s="143">
        <f>SUMIF(EPI!$B$2:$B$372,PRY!$A45,EPI!G$2:G$372)</f>
        <v>2344303138</v>
      </c>
      <c r="G45" s="143">
        <f>+G451</f>
        <v>2297915248.7434607</v>
      </c>
      <c r="H45" s="143">
        <f t="shared" ref="H45:M45" si="35">+H451</f>
        <v>2747077192.0555553</v>
      </c>
      <c r="I45" s="143">
        <f t="shared" si="35"/>
        <v>3078034682.7149324</v>
      </c>
      <c r="J45" s="143">
        <f t="shared" si="35"/>
        <v>3216546243.4371042</v>
      </c>
      <c r="K45" s="143">
        <f t="shared" si="35"/>
        <v>3345208093.1745882</v>
      </c>
      <c r="L45" s="143">
        <f t="shared" si="35"/>
        <v>3479016416.9015718</v>
      </c>
      <c r="M45" s="143">
        <f t="shared" si="35"/>
        <v>3618177073.5776348</v>
      </c>
      <c r="N45" s="143">
        <f t="shared" ref="N45:Q48" si="36">+N451</f>
        <v>3762904156.5207396</v>
      </c>
      <c r="O45" s="143">
        <f t="shared" si="36"/>
        <v>3913420322.7815695</v>
      </c>
      <c r="P45" s="143">
        <f t="shared" si="36"/>
        <v>4069957135.6928329</v>
      </c>
      <c r="Q45" s="144">
        <f t="shared" si="36"/>
        <v>4232755421.1205459</v>
      </c>
      <c r="V45" s="291">
        <f>SUMIF(EPI!$B$2:$B$372,PRY!$A45,EPI!H$2:H$372)</f>
        <v>2835094468</v>
      </c>
    </row>
    <row r="46" spans="1:22" hidden="1" outlineLevel="1" x14ac:dyDescent="0.25">
      <c r="A46" s="107" t="s">
        <v>1006</v>
      </c>
      <c r="B46" s="139" t="s">
        <v>1063</v>
      </c>
      <c r="C46" s="139" t="s">
        <v>11</v>
      </c>
      <c r="D46" s="150">
        <f>SUMIF(EPI!$B$2:$B$372,PRY!$A46,EPI!E$2:E$372)</f>
        <v>9421673574</v>
      </c>
      <c r="E46" s="143">
        <f>SUMIF(EPI!$B$2:$B$372,PRY!$A46,EPI!F$2:F$372)</f>
        <v>8033154825</v>
      </c>
      <c r="F46" s="143">
        <f>SUMIF(EPI!$B$2:$B$372,PRY!$A46,EPI!G$2:G$372)</f>
        <v>6024019286</v>
      </c>
      <c r="G46" s="143">
        <f>+G452</f>
        <v>8098897858.3525314</v>
      </c>
      <c r="H46" s="143">
        <f t="shared" ref="H46:M48" si="37">+H452</f>
        <v>9818127667.6307526</v>
      </c>
      <c r="I46" s="143">
        <f t="shared" si="37"/>
        <v>9189411237.0114021</v>
      </c>
      <c r="J46" s="143">
        <f t="shared" si="37"/>
        <v>9602836296.9269104</v>
      </c>
      <c r="K46" s="143">
        <f t="shared" si="37"/>
        <v>9986744981.6439857</v>
      </c>
      <c r="L46" s="143">
        <f t="shared" si="37"/>
        <v>10386003870.734953</v>
      </c>
      <c r="M46" s="143">
        <f t="shared" si="37"/>
        <v>10801226788.084312</v>
      </c>
      <c r="N46" s="143">
        <f t="shared" si="36"/>
        <v>11233052105.003227</v>
      </c>
      <c r="O46" s="143">
        <f t="shared" si="36"/>
        <v>11682143721.960772</v>
      </c>
      <c r="P46" s="143">
        <f t="shared" si="36"/>
        <v>12149192089.579355</v>
      </c>
      <c r="Q46" s="144">
        <f t="shared" si="36"/>
        <v>12634915270.464884</v>
      </c>
      <c r="V46" s="291">
        <f>SUMIF(EPI!$B$2:$B$372,PRY!$A46,EPI!H$2:H$372)</f>
        <v>6546420896</v>
      </c>
    </row>
    <row r="47" spans="1:22" hidden="1" outlineLevel="1" x14ac:dyDescent="0.25">
      <c r="A47" s="107" t="s">
        <v>1010</v>
      </c>
      <c r="B47" s="139" t="s">
        <v>1055</v>
      </c>
      <c r="C47" s="139" t="s">
        <v>11</v>
      </c>
      <c r="D47" s="150">
        <f>SUMIF(EPI!$B$2:$B$372,PRY!$A47,EPI!E$2:E$372)</f>
        <v>439681158</v>
      </c>
      <c r="E47" s="143">
        <f>SUMIF(EPI!$B$2:$B$372,PRY!$A47,EPI!F$2:F$372)</f>
        <v>1160181023</v>
      </c>
      <c r="F47" s="143">
        <f>SUMIF(EPI!$B$2:$B$372,PRY!$A47,EPI!G$2:G$372)</f>
        <v>2279145562</v>
      </c>
      <c r="G47" s="143">
        <f>+G453</f>
        <v>2220024385.7124386</v>
      </c>
      <c r="H47" s="143">
        <f t="shared" si="37"/>
        <v>2392769013.2741046</v>
      </c>
      <c r="I47" s="143">
        <f t="shared" si="37"/>
        <v>2570779948.8074794</v>
      </c>
      <c r="J47" s="143">
        <f t="shared" si="37"/>
        <v>2660077964.1807947</v>
      </c>
      <c r="K47" s="143">
        <f t="shared" si="37"/>
        <v>2759362020.0473151</v>
      </c>
      <c r="L47" s="143">
        <f t="shared" si="37"/>
        <v>2853503326.5697045</v>
      </c>
      <c r="M47" s="143">
        <f t="shared" si="37"/>
        <v>2953803968.4986296</v>
      </c>
      <c r="N47" s="143">
        <f t="shared" si="36"/>
        <v>3057630177.9913554</v>
      </c>
      <c r="O47" s="143">
        <f t="shared" si="36"/>
        <v>3165105878.7477512</v>
      </c>
      <c r="P47" s="143">
        <f t="shared" si="36"/>
        <v>3276359350.3857346</v>
      </c>
      <c r="Q47" s="144">
        <f t="shared" si="36"/>
        <v>3292741147.1376634</v>
      </c>
      <c r="V47" s="291">
        <f>SUMIF(EPI!$B$2:$B$372,PRY!$A47,EPI!H$2:H$372)</f>
        <v>2952212262</v>
      </c>
    </row>
    <row r="48" spans="1:22" hidden="1" outlineLevel="1" x14ac:dyDescent="0.25">
      <c r="A48" s="107" t="s">
        <v>1009</v>
      </c>
      <c r="B48" s="140" t="s">
        <v>1064</v>
      </c>
      <c r="C48" s="140" t="s">
        <v>11</v>
      </c>
      <c r="D48" s="151">
        <f>SUMIF(EPI!$B$2:$B$372,PRY!$A48,EPI!E$2:E$372)</f>
        <v>1244790584</v>
      </c>
      <c r="E48" s="146">
        <f>SUMIF(EPI!$B$2:$B$372,PRY!$A48,EPI!F$2:F$372)</f>
        <v>1446776603</v>
      </c>
      <c r="F48" s="146">
        <f>SUMIF(EPI!$B$2:$B$372,PRY!$A48,EPI!G$2:G$372)</f>
        <v>752821057</v>
      </c>
      <c r="G48" s="146">
        <f>+G454</f>
        <v>888009754.28497553</v>
      </c>
      <c r="H48" s="146">
        <f t="shared" si="37"/>
        <v>957107605.30964184</v>
      </c>
      <c r="I48" s="146">
        <f t="shared" si="37"/>
        <v>1028311979.5229918</v>
      </c>
      <c r="J48" s="146">
        <f t="shared" si="37"/>
        <v>1064031185.672318</v>
      </c>
      <c r="K48" s="146">
        <f t="shared" si="37"/>
        <v>1103744808.0189261</v>
      </c>
      <c r="L48" s="146">
        <f t="shared" si="37"/>
        <v>1141401330.6278818</v>
      </c>
      <c r="M48" s="146">
        <f t="shared" si="37"/>
        <v>1181521587.399452</v>
      </c>
      <c r="N48" s="146">
        <f t="shared" si="36"/>
        <v>1223052071.1965423</v>
      </c>
      <c r="O48" s="146">
        <f t="shared" si="36"/>
        <v>1266042351.4991004</v>
      </c>
      <c r="P48" s="146">
        <f t="shared" si="36"/>
        <v>1310543740.154294</v>
      </c>
      <c r="Q48" s="147">
        <f t="shared" si="36"/>
        <v>1317096458.8550653</v>
      </c>
      <c r="V48" s="291">
        <f>SUMIF(EPI!$B$2:$B$372,PRY!$A48,EPI!H$2:H$372)</f>
        <v>1203088704</v>
      </c>
    </row>
    <row r="49" spans="1:22" hidden="1" outlineLevel="1" x14ac:dyDescent="0.25">
      <c r="A49" s="107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</row>
    <row r="50" spans="1:22" s="16" customFormat="1" hidden="1" outlineLevel="1" x14ac:dyDescent="0.25">
      <c r="A50" s="261"/>
      <c r="B50" s="178" t="s">
        <v>1069</v>
      </c>
      <c r="C50" s="179" t="s">
        <v>11</v>
      </c>
      <c r="D50" s="175">
        <f>+D51+D56+D57+D58</f>
        <v>-169498417215</v>
      </c>
      <c r="E50" s="175">
        <f t="shared" ref="E50:M50" si="38">+E51+E56+E57+E58</f>
        <v>-288871152544</v>
      </c>
      <c r="F50" s="175">
        <f t="shared" si="38"/>
        <v>-672239351599</v>
      </c>
      <c r="G50" s="175">
        <f t="shared" si="38"/>
        <v>-710762259812.94641</v>
      </c>
      <c r="H50" s="175">
        <f t="shared" si="38"/>
        <v>-586864322124.01331</v>
      </c>
      <c r="I50" s="175">
        <f t="shared" si="38"/>
        <v>-562942692185.06616</v>
      </c>
      <c r="J50" s="175">
        <f t="shared" si="38"/>
        <v>-570122414746.11304</v>
      </c>
      <c r="K50" s="175">
        <f t="shared" si="38"/>
        <v>-525887839469.08435</v>
      </c>
      <c r="L50" s="175">
        <f t="shared" si="38"/>
        <v>-362028647862.74786</v>
      </c>
      <c r="M50" s="175">
        <f t="shared" si="38"/>
        <v>-271454680653.82935</v>
      </c>
      <c r="N50" s="175">
        <f>+N51+N56+N57+N58</f>
        <v>-190757630264.22479</v>
      </c>
      <c r="O50" s="175">
        <f>+O51+O56+O57+O58</f>
        <v>-103270182826.03372</v>
      </c>
      <c r="P50" s="175">
        <f t="shared" ref="P50:V50" si="39">+P51+P56+P57+P58</f>
        <v>-12820758928.315292</v>
      </c>
      <c r="Q50" s="176">
        <f t="shared" si="39"/>
        <v>74076618087.062729</v>
      </c>
      <c r="V50" s="176">
        <f t="shared" si="39"/>
        <v>-754091351599</v>
      </c>
    </row>
    <row r="51" spans="1:22" hidden="1" outlineLevel="1" x14ac:dyDescent="0.25">
      <c r="A51" s="107"/>
      <c r="B51" s="180" t="s">
        <v>1065</v>
      </c>
      <c r="C51" s="181" t="s">
        <v>11</v>
      </c>
      <c r="D51" s="182">
        <f>+D52+D53+D54+D55</f>
        <v>81852000000</v>
      </c>
      <c r="E51" s="182">
        <f>+E52+E53+E54+E55</f>
        <v>81852000000</v>
      </c>
      <c r="F51" s="182">
        <f>+F52+F53+F54+F55</f>
        <v>81852000000</v>
      </c>
      <c r="G51" s="182">
        <f t="shared" ref="G51:Q51" si="40">+G52+G53+G54+G55</f>
        <v>81852000000</v>
      </c>
      <c r="H51" s="182">
        <f t="shared" si="40"/>
        <v>81852000000</v>
      </c>
      <c r="I51" s="182">
        <f t="shared" si="40"/>
        <v>81852000000</v>
      </c>
      <c r="J51" s="182">
        <f t="shared" si="40"/>
        <v>81852000000</v>
      </c>
      <c r="K51" s="182">
        <f t="shared" si="40"/>
        <v>111852000000</v>
      </c>
      <c r="L51" s="182">
        <f t="shared" si="40"/>
        <v>235852000000</v>
      </c>
      <c r="M51" s="182">
        <f t="shared" si="40"/>
        <v>265852000000</v>
      </c>
      <c r="N51" s="182">
        <f t="shared" si="40"/>
        <v>265852000000</v>
      </c>
      <c r="O51" s="182">
        <f t="shared" si="40"/>
        <v>265852000000</v>
      </c>
      <c r="P51" s="182">
        <f t="shared" si="40"/>
        <v>265852000000</v>
      </c>
      <c r="Q51" s="183">
        <f t="shared" si="40"/>
        <v>265852000000</v>
      </c>
      <c r="V51" s="291">
        <f>SUMIF(EPI!$B$2:$B$372,PRY!$A51,EPI!H$2:H$372)</f>
        <v>0</v>
      </c>
    </row>
    <row r="52" spans="1:22" hidden="1" outlineLevel="1" x14ac:dyDescent="0.25">
      <c r="A52" s="107" t="s">
        <v>1013</v>
      </c>
      <c r="B52" s="139" t="s">
        <v>1168</v>
      </c>
      <c r="C52" s="142" t="s">
        <v>11</v>
      </c>
      <c r="D52" s="143">
        <f>SUMIF(EPI!$B$2:$B$372,PRY!$A52,EPI!E$2:E$372)</f>
        <v>81852000000</v>
      </c>
      <c r="E52" s="143">
        <f>SUMIF(EPI!$B$2:$B$372,PRY!$A52,EPI!F$2:F$372)</f>
        <v>81852000000</v>
      </c>
      <c r="F52" s="143">
        <f>SUMIF(EPI!$B$2:$B$372,PRY!$A52,EPI!G$2:G$372)</f>
        <v>81852000000</v>
      </c>
      <c r="G52" s="143">
        <f t="shared" ref="G52:Q52" si="41">+F52</f>
        <v>81852000000</v>
      </c>
      <c r="H52" s="143">
        <f t="shared" si="41"/>
        <v>81852000000</v>
      </c>
      <c r="I52" s="143">
        <f t="shared" si="41"/>
        <v>81852000000</v>
      </c>
      <c r="J52" s="143">
        <f t="shared" si="41"/>
        <v>81852000000</v>
      </c>
      <c r="K52" s="143">
        <f t="shared" si="41"/>
        <v>81852000000</v>
      </c>
      <c r="L52" s="143">
        <f t="shared" si="41"/>
        <v>81852000000</v>
      </c>
      <c r="M52" s="143">
        <f t="shared" si="41"/>
        <v>81852000000</v>
      </c>
      <c r="N52" s="143">
        <f t="shared" si="41"/>
        <v>81852000000</v>
      </c>
      <c r="O52" s="143">
        <f t="shared" si="41"/>
        <v>81852000000</v>
      </c>
      <c r="P52" s="143">
        <f t="shared" si="41"/>
        <v>81852000000</v>
      </c>
      <c r="Q52" s="144">
        <f t="shared" si="41"/>
        <v>81852000000</v>
      </c>
      <c r="V52" s="291">
        <f>SUMIF(EPI!$B$2:$B$372,PRY!$A52,EPI!H$2:H$372)</f>
        <v>81852000000</v>
      </c>
    </row>
    <row r="53" spans="1:22" hidden="1" outlineLevel="1" x14ac:dyDescent="0.25">
      <c r="A53" s="107"/>
      <c r="B53" s="139" t="s">
        <v>1714</v>
      </c>
      <c r="C53" s="142" t="s">
        <v>11</v>
      </c>
      <c r="D53" s="143"/>
      <c r="E53" s="143"/>
      <c r="F53" s="143"/>
      <c r="G53" s="143">
        <f>+G184</f>
        <v>0</v>
      </c>
      <c r="H53" s="143">
        <f t="shared" ref="H53:Q53" si="42">+G53</f>
        <v>0</v>
      </c>
      <c r="I53" s="143">
        <f t="shared" si="42"/>
        <v>0</v>
      </c>
      <c r="J53" s="143">
        <v>0</v>
      </c>
      <c r="K53" s="143">
        <f>+J53+20000000000+10000000000</f>
        <v>30000000000</v>
      </c>
      <c r="L53" s="143">
        <f>+K53+20000000000+10000000000</f>
        <v>60000000000</v>
      </c>
      <c r="M53" s="143">
        <f>+L53+30000000000</f>
        <v>90000000000</v>
      </c>
      <c r="N53" s="143">
        <f t="shared" si="42"/>
        <v>90000000000</v>
      </c>
      <c r="O53" s="143">
        <f t="shared" si="42"/>
        <v>90000000000</v>
      </c>
      <c r="P53" s="143">
        <f t="shared" si="42"/>
        <v>90000000000</v>
      </c>
      <c r="Q53" s="144">
        <f t="shared" si="42"/>
        <v>90000000000</v>
      </c>
      <c r="V53" s="291">
        <f>SUMIF(EPI!$B$2:$B$372,PRY!$A53,EPI!H$2:H$372)</f>
        <v>0</v>
      </c>
    </row>
    <row r="54" spans="1:22" hidden="1" outlineLevel="1" x14ac:dyDescent="0.25">
      <c r="A54" s="107"/>
      <c r="B54" s="139" t="s">
        <v>1330</v>
      </c>
      <c r="C54" s="142"/>
      <c r="D54" s="143"/>
      <c r="E54" s="143"/>
      <c r="F54" s="143"/>
      <c r="G54" s="276">
        <f>+'Panel de control'!D90</f>
        <v>0</v>
      </c>
      <c r="H54" s="276">
        <f>+'Panel de control'!E90</f>
        <v>0</v>
      </c>
      <c r="I54" s="276">
        <f>+'Panel de control'!F90</f>
        <v>0</v>
      </c>
      <c r="J54" s="276">
        <f>+'Panel de control'!G90</f>
        <v>0</v>
      </c>
      <c r="K54" s="276">
        <f>+'Panel de control'!H90</f>
        <v>0</v>
      </c>
      <c r="L54" s="143">
        <v>30000000000</v>
      </c>
      <c r="M54" s="143">
        <f t="shared" ref="M54:Q55" si="43">+L54</f>
        <v>30000000000</v>
      </c>
      <c r="N54" s="143">
        <f t="shared" si="43"/>
        <v>30000000000</v>
      </c>
      <c r="O54" s="143">
        <f t="shared" si="43"/>
        <v>30000000000</v>
      </c>
      <c r="P54" s="143">
        <f t="shared" si="43"/>
        <v>30000000000</v>
      </c>
      <c r="Q54" s="144">
        <f t="shared" si="43"/>
        <v>30000000000</v>
      </c>
      <c r="V54" s="291">
        <f>SUMIF(EPI!$B$2:$B$372,PRY!$A54,EPI!H$2:H$372)</f>
        <v>0</v>
      </c>
    </row>
    <row r="55" spans="1:22" hidden="1" outlineLevel="1" x14ac:dyDescent="0.25">
      <c r="A55" s="107"/>
      <c r="B55" s="139" t="s">
        <v>1399</v>
      </c>
      <c r="C55" s="142"/>
      <c r="D55" s="143"/>
      <c r="E55" s="143"/>
      <c r="F55" s="143"/>
      <c r="G55" s="143"/>
      <c r="H55" s="143"/>
      <c r="I55" s="143"/>
      <c r="J55" s="143"/>
      <c r="K55" s="143"/>
      <c r="L55" s="143">
        <v>64000000000</v>
      </c>
      <c r="M55" s="143">
        <f t="shared" si="43"/>
        <v>64000000000</v>
      </c>
      <c r="N55" s="143">
        <f t="shared" si="43"/>
        <v>64000000000</v>
      </c>
      <c r="O55" s="143">
        <f t="shared" si="43"/>
        <v>64000000000</v>
      </c>
      <c r="P55" s="143">
        <f t="shared" si="43"/>
        <v>64000000000</v>
      </c>
      <c r="Q55" s="144">
        <f t="shared" si="43"/>
        <v>64000000000</v>
      </c>
      <c r="V55" s="291">
        <f>SUMIF(EPI!$B$2:$B$372,PRY!$A55,EPI!H$2:H$372)</f>
        <v>0</v>
      </c>
    </row>
    <row r="56" spans="1:22" hidden="1" outlineLevel="1" x14ac:dyDescent="0.25">
      <c r="A56" s="107" t="s">
        <v>1014</v>
      </c>
      <c r="B56" s="154" t="s">
        <v>1066</v>
      </c>
      <c r="C56" s="142" t="s">
        <v>11</v>
      </c>
      <c r="D56" s="143">
        <f>SUMIF(EPI!$B$2:$B$372,PRY!$A56,EPI!E$2:E$372)</f>
        <v>-142020232589</v>
      </c>
      <c r="E56" s="143">
        <f>SUMIF(EPI!$B$2:$B$372,PRY!$A56,EPI!F$2:F$372)</f>
        <v>-251350417215</v>
      </c>
      <c r="F56" s="143">
        <f>SUMIF(EPI!$B$2:$B$372,PRY!$A56,EPI!G$2:G$372)</f>
        <v>-370723152544</v>
      </c>
      <c r="G56" s="143">
        <f>+F56+F57</f>
        <v>-765723258680</v>
      </c>
      <c r="H56" s="143">
        <f t="shared" ref="H56:Q56" si="44">+G56+G57</f>
        <v>-804246166893.94641</v>
      </c>
      <c r="I56" s="143">
        <f t="shared" si="44"/>
        <v>-680348229205.01331</v>
      </c>
      <c r="J56" s="143">
        <f t="shared" si="44"/>
        <v>-656426599266.06616</v>
      </c>
      <c r="K56" s="143">
        <f t="shared" si="44"/>
        <v>-663606321827.11304</v>
      </c>
      <c r="L56" s="143">
        <f t="shared" si="44"/>
        <v>-649371746550.08435</v>
      </c>
      <c r="M56" s="143">
        <f t="shared" si="44"/>
        <v>-609512554943.74792</v>
      </c>
      <c r="N56" s="143">
        <f t="shared" si="44"/>
        <v>-548938587734.82935</v>
      </c>
      <c r="O56" s="143">
        <f t="shared" si="44"/>
        <v>-468241537345.22479</v>
      </c>
      <c r="P56" s="143">
        <f t="shared" si="44"/>
        <v>-380754089907.03369</v>
      </c>
      <c r="Q56" s="144">
        <f t="shared" si="44"/>
        <v>-290304666009.31531</v>
      </c>
      <c r="V56" s="291">
        <f>SUMIF(EPI!$B$2:$B$372,PRY!$A56,EPI!H$2:H$372)</f>
        <v>-765723258680</v>
      </c>
    </row>
    <row r="57" spans="1:22" hidden="1" outlineLevel="1" x14ac:dyDescent="0.25">
      <c r="A57" s="107"/>
      <c r="B57" s="154" t="s">
        <v>1067</v>
      </c>
      <c r="C57" s="142" t="s">
        <v>11</v>
      </c>
      <c r="D57" s="143">
        <f t="shared" ref="D57:M57" si="45">+D119</f>
        <v>-109330184626</v>
      </c>
      <c r="E57" s="143">
        <f t="shared" si="45"/>
        <v>-119372735329</v>
      </c>
      <c r="F57" s="143">
        <f t="shared" si="45"/>
        <v>-395000106136</v>
      </c>
      <c r="G57" s="143">
        <f t="shared" si="45"/>
        <v>-38522908213.946457</v>
      </c>
      <c r="H57" s="143">
        <f t="shared" si="45"/>
        <v>123897937688.93311</v>
      </c>
      <c r="I57" s="143">
        <f t="shared" si="45"/>
        <v>23921629938.947098</v>
      </c>
      <c r="J57" s="143">
        <f t="shared" si="45"/>
        <v>-7179722561.0468826</v>
      </c>
      <c r="K57" s="143">
        <f t="shared" si="45"/>
        <v>14234575277.028671</v>
      </c>
      <c r="L57" s="143">
        <f t="shared" si="45"/>
        <v>39859191606.336472</v>
      </c>
      <c r="M57" s="143">
        <f t="shared" si="45"/>
        <v>60573967208.918594</v>
      </c>
      <c r="N57" s="143">
        <f>+N119</f>
        <v>80697050389.604568</v>
      </c>
      <c r="O57" s="143">
        <f>+O119</f>
        <v>87487447438.191071</v>
      </c>
      <c r="P57" s="143">
        <f>+P119</f>
        <v>90449423897.718399</v>
      </c>
      <c r="Q57" s="144">
        <f>+Q119</f>
        <v>86897377015.378036</v>
      </c>
      <c r="V57" s="291">
        <f>SUMIF(EPI!$B$2:$B$372,PRY!$A57,EPI!H$2:H$372)</f>
        <v>0</v>
      </c>
    </row>
    <row r="58" spans="1:22" hidden="1" outlineLevel="1" x14ac:dyDescent="0.25">
      <c r="A58" s="107" t="s">
        <v>1015</v>
      </c>
      <c r="B58" s="141" t="s">
        <v>1068</v>
      </c>
      <c r="C58" s="145" t="s">
        <v>11</v>
      </c>
      <c r="D58" s="146">
        <f>SUMIF(EPI!$B$2:$B$372,PRY!$A58,EPI!E$2:E$372)</f>
        <v>0</v>
      </c>
      <c r="E58" s="146">
        <f>SUMIF(EPI!$B$2:$B$372,PRY!$A58,EPI!F$2:F$372)</f>
        <v>0</v>
      </c>
      <c r="F58" s="146">
        <f>SUMIF(EPI!$B$2:$B$372,PRY!$A58,EPI!G$2:G$372)</f>
        <v>11631907081</v>
      </c>
      <c r="G58" s="146">
        <f t="shared" ref="G58:Q58" si="46">+F58</f>
        <v>11631907081</v>
      </c>
      <c r="H58" s="146">
        <f t="shared" si="46"/>
        <v>11631907081</v>
      </c>
      <c r="I58" s="146">
        <f t="shared" si="46"/>
        <v>11631907081</v>
      </c>
      <c r="J58" s="146">
        <f t="shared" si="46"/>
        <v>11631907081</v>
      </c>
      <c r="K58" s="146">
        <f t="shared" si="46"/>
        <v>11631907081</v>
      </c>
      <c r="L58" s="146">
        <f t="shared" si="46"/>
        <v>11631907081</v>
      </c>
      <c r="M58" s="146">
        <f t="shared" si="46"/>
        <v>11631907081</v>
      </c>
      <c r="N58" s="146">
        <f t="shared" si="46"/>
        <v>11631907081</v>
      </c>
      <c r="O58" s="146">
        <f t="shared" si="46"/>
        <v>11631907081</v>
      </c>
      <c r="P58" s="146">
        <f t="shared" si="46"/>
        <v>11631907081</v>
      </c>
      <c r="Q58" s="147">
        <f t="shared" si="46"/>
        <v>11631907081</v>
      </c>
      <c r="V58" s="291">
        <f>SUMIF(EPI!$B$2:$B$372,PRY!$A58,EPI!H$2:H$372)</f>
        <v>11631907081</v>
      </c>
    </row>
    <row r="59" spans="1:22" collapsed="1" x14ac:dyDescent="0.25"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1:22" s="260" customFormat="1" x14ac:dyDescent="0.25">
      <c r="B60" s="168" t="s">
        <v>1098</v>
      </c>
      <c r="C60" s="169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1"/>
    </row>
    <row r="61" spans="1:22" hidden="1" outlineLevel="1" x14ac:dyDescent="0.25"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</row>
    <row r="62" spans="1:22" s="16" customFormat="1" hidden="1" outlineLevel="1" x14ac:dyDescent="0.25">
      <c r="A62" s="261"/>
      <c r="B62" s="172" t="s">
        <v>1079</v>
      </c>
      <c r="C62" s="173" t="s">
        <v>11</v>
      </c>
      <c r="D62" s="177">
        <f>SUM(D63:D69)</f>
        <v>1190425478954</v>
      </c>
      <c r="E62" s="175">
        <f t="shared" ref="E62:M62" si="47">SUM(E63:E69)</f>
        <v>1349953464576</v>
      </c>
      <c r="F62" s="175">
        <f t="shared" si="47"/>
        <v>1444415524848</v>
      </c>
      <c r="G62" s="175">
        <f t="shared" si="47"/>
        <v>1598417557712.9558</v>
      </c>
      <c r="H62" s="175">
        <f t="shared" si="47"/>
        <v>1722793689557.3555</v>
      </c>
      <c r="I62" s="175">
        <f t="shared" si="47"/>
        <v>1850961563141.3853</v>
      </c>
      <c r="J62" s="175">
        <f t="shared" si="47"/>
        <v>1915256134210.1724</v>
      </c>
      <c r="K62" s="175">
        <f t="shared" si="47"/>
        <v>1986740654434.0669</v>
      </c>
      <c r="L62" s="175">
        <f t="shared" si="47"/>
        <v>2054522395130.1873</v>
      </c>
      <c r="M62" s="175">
        <f t="shared" si="47"/>
        <v>2126738857319.0132</v>
      </c>
      <c r="N62" s="175">
        <f>SUM(N63:N69)</f>
        <v>2201493728153.7759</v>
      </c>
      <c r="O62" s="175">
        <f>SUM(O63:O69)</f>
        <v>2278876232698.3809</v>
      </c>
      <c r="P62" s="175">
        <f t="shared" ref="P62:V62" si="48">SUM(P63:P69)</f>
        <v>2358978732277.729</v>
      </c>
      <c r="Q62" s="176">
        <f t="shared" si="48"/>
        <v>2370773625939.1177</v>
      </c>
      <c r="V62" s="290">
        <f t="shared" si="48"/>
        <v>662774737042</v>
      </c>
    </row>
    <row r="63" spans="1:22" hidden="1" outlineLevel="1" x14ac:dyDescent="0.25">
      <c r="A63" s="107" t="s">
        <v>1016</v>
      </c>
      <c r="B63" s="139" t="s">
        <v>1076</v>
      </c>
      <c r="C63" s="139" t="s">
        <v>11</v>
      </c>
      <c r="D63" s="150">
        <f>SUMIF(EPI!$B$2:$B$372,PRY!$A63,EPI!E$2:E$372)</f>
        <v>7494929691</v>
      </c>
      <c r="E63" s="143">
        <f>SUMIF(EPI!$B$2:$B$372,PRY!$A63,EPI!F$2:F$372)</f>
        <v>27240918906</v>
      </c>
      <c r="F63" s="143">
        <f>SUMIF(EPI!$B$2:$B$372,PRY!$A63,EPI!G$2:G$372)</f>
        <v>53518151467</v>
      </c>
      <c r="G63" s="143">
        <f>+G290</f>
        <v>72806000000</v>
      </c>
      <c r="H63" s="143">
        <f t="shared" ref="H63:M63" si="49">+H290</f>
        <v>86947638422</v>
      </c>
      <c r="I63" s="143">
        <f t="shared" si="49"/>
        <v>91608031841.419205</v>
      </c>
      <c r="J63" s="143">
        <f t="shared" si="49"/>
        <v>95272353115.075974</v>
      </c>
      <c r="K63" s="143">
        <f t="shared" si="49"/>
        <v>98130523708.528259</v>
      </c>
      <c r="L63" s="143">
        <f t="shared" si="49"/>
        <v>101074439419.7841</v>
      </c>
      <c r="M63" s="143">
        <f t="shared" si="49"/>
        <v>104106672602.37762</v>
      </c>
      <c r="N63" s="143">
        <f t="shared" ref="N63:Q69" si="50">+N290</f>
        <v>107229872780.44896</v>
      </c>
      <c r="O63" s="143">
        <f t="shared" si="50"/>
        <v>110446768963.86243</v>
      </c>
      <c r="P63" s="143">
        <f t="shared" si="50"/>
        <v>113760172032.77831</v>
      </c>
      <c r="Q63" s="144">
        <f t="shared" si="50"/>
        <v>117172977193.76166</v>
      </c>
      <c r="R63" s="289"/>
      <c r="S63" s="490"/>
      <c r="T63" s="490"/>
      <c r="U63" s="490"/>
      <c r="V63" s="291">
        <f>SUMIF(EPI!$B$2:$B$372,PRY!$A63,EPI!H$2:H$372)</f>
        <v>29146817849</v>
      </c>
    </row>
    <row r="64" spans="1:22" hidden="1" outlineLevel="1" x14ac:dyDescent="0.25">
      <c r="A64" s="107" t="s">
        <v>1017</v>
      </c>
      <c r="B64" s="139" t="s">
        <v>1077</v>
      </c>
      <c r="C64" s="139" t="s">
        <v>11</v>
      </c>
      <c r="D64" s="150">
        <f>SUMIF(EPI!$B$2:$B$372,PRY!$A64,EPI!E$2:E$372)</f>
        <v>1087684191507</v>
      </c>
      <c r="E64" s="143">
        <f>SUMIF(EPI!$B$2:$B$372,PRY!$A64,EPI!F$2:F$372)</f>
        <v>1223662739009</v>
      </c>
      <c r="F64" s="143">
        <f>SUMIF(EPI!$B$2:$B$372,PRY!$A64,EPI!G$2:G$372)</f>
        <v>1314961781294</v>
      </c>
      <c r="G64" s="143">
        <f t="shared" ref="G64:M64" si="51">+G291</f>
        <v>1452737000000</v>
      </c>
      <c r="H64" s="143">
        <f t="shared" si="51"/>
        <v>1557143857661</v>
      </c>
      <c r="I64" s="143">
        <f t="shared" si="51"/>
        <v>1677237126964.3589</v>
      </c>
      <c r="J64" s="143">
        <f t="shared" si="51"/>
        <v>1735747713022.7251</v>
      </c>
      <c r="K64" s="143">
        <f t="shared" si="51"/>
        <v>1797249897754.0161</v>
      </c>
      <c r="L64" s="143">
        <f t="shared" si="51"/>
        <v>1860928603857.1685</v>
      </c>
      <c r="M64" s="143">
        <f t="shared" si="51"/>
        <v>1926860777645.7595</v>
      </c>
      <c r="N64" s="143">
        <f t="shared" si="50"/>
        <v>1995126083343.9102</v>
      </c>
      <c r="O64" s="143">
        <f t="shared" si="50"/>
        <v>2065806999018.2676</v>
      </c>
      <c r="P64" s="143">
        <f t="shared" si="50"/>
        <v>2138988915893.9233</v>
      </c>
      <c r="Q64" s="144">
        <f t="shared" si="50"/>
        <v>2146839856172.5732</v>
      </c>
      <c r="V64" s="291">
        <f>SUMIF(EPI!$B$2:$B$372,PRY!$A64,EPI!H$2:H$372)</f>
        <v>605218047517</v>
      </c>
    </row>
    <row r="65" spans="1:22" hidden="1" outlineLevel="1" x14ac:dyDescent="0.25">
      <c r="A65" s="107" t="s">
        <v>1018</v>
      </c>
      <c r="B65" s="139" t="s">
        <v>1074</v>
      </c>
      <c r="C65" s="139" t="s">
        <v>11</v>
      </c>
      <c r="D65" s="150">
        <f>SUMIF(EPI!$B$2:$B$372,PRY!$A65,EPI!E$2:E$372)</f>
        <v>0</v>
      </c>
      <c r="E65" s="143">
        <f>SUMIF(EPI!$B$2:$B$372,PRY!$A65,EPI!F$2:F$372)</f>
        <v>0</v>
      </c>
      <c r="F65" s="143">
        <f>SUMIF(EPI!$B$2:$B$372,PRY!$A65,EPI!G$2:G$372)</f>
        <v>221221496</v>
      </c>
      <c r="G65" s="143">
        <f t="shared" ref="G65:M65" si="52">+G292</f>
        <v>246611511.49760276</v>
      </c>
      <c r="H65" s="143">
        <f t="shared" si="52"/>
        <v>265775457.58420688</v>
      </c>
      <c r="I65" s="143">
        <f t="shared" si="52"/>
        <v>285942499.30569649</v>
      </c>
      <c r="J65" s="143">
        <f t="shared" si="52"/>
        <v>293323508.63607228</v>
      </c>
      <c r="K65" s="143">
        <f t="shared" si="52"/>
        <v>303633829.96463025</v>
      </c>
      <c r="L65" s="143">
        <f t="shared" si="52"/>
        <v>314306559.08788693</v>
      </c>
      <c r="M65" s="143">
        <f t="shared" si="52"/>
        <v>325354434.63982606</v>
      </c>
      <c r="N65" s="143">
        <f t="shared" si="50"/>
        <v>336790643.01741594</v>
      </c>
      <c r="O65" s="143">
        <f t="shared" si="50"/>
        <v>348628834.11947805</v>
      </c>
      <c r="P65" s="143">
        <f t="shared" si="50"/>
        <v>360883137.63877767</v>
      </c>
      <c r="Q65" s="144">
        <f t="shared" si="50"/>
        <v>362687553.32697159</v>
      </c>
      <c r="V65" s="291">
        <f>SUMIF(EPI!$B$2:$B$372,PRY!$A65,EPI!H$2:H$372)</f>
        <v>137027577</v>
      </c>
    </row>
    <row r="66" spans="1:22" hidden="1" outlineLevel="1" x14ac:dyDescent="0.25">
      <c r="A66" s="107" t="s">
        <v>1019</v>
      </c>
      <c r="B66" s="139" t="s">
        <v>1075</v>
      </c>
      <c r="C66" s="139" t="s">
        <v>11</v>
      </c>
      <c r="D66" s="150">
        <f>SUMIF(EPI!$B$2:$B$372,PRY!$A66,EPI!E$2:E$372)</f>
        <v>3752703650</v>
      </c>
      <c r="E66" s="143">
        <f>SUMIF(EPI!$B$2:$B$372,PRY!$A66,EPI!F$2:F$372)</f>
        <v>3229138644</v>
      </c>
      <c r="F66" s="143">
        <f>SUMIF(EPI!$B$2:$B$372,PRY!$A66,EPI!G$2:G$372)</f>
        <v>3415028835</v>
      </c>
      <c r="G66" s="143">
        <f t="shared" ref="G66:M66" si="53">+G293</f>
        <v>3806978245.9442706</v>
      </c>
      <c r="H66" s="143">
        <f t="shared" si="53"/>
        <v>4737424965.1078749</v>
      </c>
      <c r="I66" s="143">
        <f t="shared" si="53"/>
        <v>5096900771.4602604</v>
      </c>
      <c r="J66" s="143">
        <f t="shared" si="53"/>
        <v>5228466636.0711336</v>
      </c>
      <c r="K66" s="143">
        <f t="shared" si="53"/>
        <v>5412247238.3290339</v>
      </c>
      <c r="L66" s="143">
        <f t="shared" si="53"/>
        <v>5602487728.7562981</v>
      </c>
      <c r="M66" s="143">
        <f t="shared" si="53"/>
        <v>5799415172.422081</v>
      </c>
      <c r="N66" s="143">
        <f t="shared" si="50"/>
        <v>6003264615.7327166</v>
      </c>
      <c r="O66" s="143">
        <f t="shared" si="50"/>
        <v>6214279366.9757204</v>
      </c>
      <c r="P66" s="143">
        <f t="shared" si="50"/>
        <v>6432711286.7249174</v>
      </c>
      <c r="Q66" s="144">
        <f t="shared" si="50"/>
        <v>6464874843.1585417</v>
      </c>
      <c r="V66" s="291">
        <f>SUMIF(EPI!$B$2:$B$372,PRY!$A66,EPI!H$2:H$372)</f>
        <v>1308686003</v>
      </c>
    </row>
    <row r="67" spans="1:22" hidden="1" outlineLevel="1" x14ac:dyDescent="0.25">
      <c r="A67" s="107" t="s">
        <v>1021</v>
      </c>
      <c r="B67" s="139" t="s">
        <v>389</v>
      </c>
      <c r="C67" s="139" t="s">
        <v>11</v>
      </c>
      <c r="D67" s="150">
        <f>SUMIF(EPI!$B$2:$B$372,PRY!$A67,EPI!E$2:E$372)</f>
        <v>53482782</v>
      </c>
      <c r="E67" s="143">
        <f>SUMIF(EPI!$B$2:$B$372,PRY!$A67,EPI!F$2:F$372)</f>
        <v>105908555</v>
      </c>
      <c r="F67" s="143">
        <f>SUMIF(EPI!$B$2:$B$372,PRY!$A67,EPI!G$2:G$372)</f>
        <v>1974759539</v>
      </c>
      <c r="G67" s="143">
        <f t="shared" ref="G67:M67" si="54">+G294</f>
        <v>4830581597.0076685</v>
      </c>
      <c r="H67" s="143">
        <f t="shared" si="54"/>
        <v>6941282000.1580601</v>
      </c>
      <c r="I67" s="143">
        <f t="shared" si="54"/>
        <v>5600989858.7475395</v>
      </c>
      <c r="J67" s="143">
        <f t="shared" si="54"/>
        <v>5745567731.9463015</v>
      </c>
      <c r="K67" s="143">
        <f t="shared" si="54"/>
        <v>5947524437.7242136</v>
      </c>
      <c r="L67" s="143">
        <f t="shared" si="54"/>
        <v>6156579921.7102184</v>
      </c>
      <c r="M67" s="143">
        <f t="shared" si="54"/>
        <v>6372983705.9583311</v>
      </c>
      <c r="N67" s="143">
        <f t="shared" si="50"/>
        <v>6596994083.2227669</v>
      </c>
      <c r="O67" s="143">
        <f t="shared" si="50"/>
        <v>6828878425.2480459</v>
      </c>
      <c r="P67" s="143">
        <f t="shared" si="50"/>
        <v>7068913501.8955135</v>
      </c>
      <c r="Q67" s="144">
        <f t="shared" si="50"/>
        <v>7104258069.4049911</v>
      </c>
      <c r="V67" s="291">
        <f>SUMIF(EPI!$B$2:$B$372,PRY!$A67,EPI!H$2:H$372)</f>
        <v>1126924864</v>
      </c>
    </row>
    <row r="68" spans="1:22" hidden="1" outlineLevel="1" x14ac:dyDescent="0.25">
      <c r="A68" s="107" t="s">
        <v>1020</v>
      </c>
      <c r="B68" s="139" t="s">
        <v>1626</v>
      </c>
      <c r="C68" s="139" t="s">
        <v>11</v>
      </c>
      <c r="D68" s="150">
        <f>SUMIF(EPI!$B$2:$B$372,PRY!$A68,EPI!E$2:E$372)</f>
        <v>6537408745</v>
      </c>
      <c r="E68" s="143">
        <f>SUMIF(EPI!$B$2:$B$372,PRY!$A68,EPI!F$2:F$372)</f>
        <v>8870692780</v>
      </c>
      <c r="F68" s="143">
        <f>SUMIF(EPI!$B$2:$B$372,PRY!$A68,EPI!G$2:G$372)</f>
        <v>8587753423</v>
      </c>
      <c r="G68" s="143">
        <f t="shared" ref="G68:M68" si="55">+G295</f>
        <v>12218386358.506237</v>
      </c>
      <c r="H68" s="143">
        <f t="shared" si="55"/>
        <v>9492134550.2015266</v>
      </c>
      <c r="I68" s="143">
        <f t="shared" si="55"/>
        <v>9521682759.8708172</v>
      </c>
      <c r="J68" s="143">
        <f t="shared" si="55"/>
        <v>9767465144.308712</v>
      </c>
      <c r="K68" s="143">
        <f t="shared" si="55"/>
        <v>12291550504.630039</v>
      </c>
      <c r="L68" s="143">
        <f t="shared" si="55"/>
        <v>12723598504.867785</v>
      </c>
      <c r="M68" s="143">
        <f t="shared" si="55"/>
        <v>13170832992.313883</v>
      </c>
      <c r="N68" s="143">
        <f t="shared" si="50"/>
        <v>13633787771.993717</v>
      </c>
      <c r="O68" s="143">
        <f t="shared" si="50"/>
        <v>14113015412.179293</v>
      </c>
      <c r="P68" s="143">
        <f t="shared" si="50"/>
        <v>14609087903.917395</v>
      </c>
      <c r="Q68" s="144">
        <f t="shared" si="50"/>
        <v>14682133343.436981</v>
      </c>
      <c r="V68" s="291">
        <f>SUMIF(EPI!$B$2:$B$372,PRY!$A68,EPI!H$2:H$372)</f>
        <v>0</v>
      </c>
    </row>
    <row r="69" spans="1:22" hidden="1" outlineLevel="1" x14ac:dyDescent="0.25">
      <c r="A69" s="107" t="s">
        <v>1022</v>
      </c>
      <c r="B69" s="140" t="s">
        <v>1078</v>
      </c>
      <c r="C69" s="140" t="s">
        <v>11</v>
      </c>
      <c r="D69" s="151">
        <f>SUMIF(EPI!$B$2:$B$372,PRY!$A69,EPI!E$2:E$372)</f>
        <v>84902762579</v>
      </c>
      <c r="E69" s="146">
        <f>SUMIF(EPI!$B$2:$B$372,PRY!$A69,EPI!F$2:F$372)</f>
        <v>86844066682</v>
      </c>
      <c r="F69" s="146">
        <f>SUMIF(EPI!$B$2:$B$372,PRY!$A69,EPI!G$2:G$372)</f>
        <v>61736828794</v>
      </c>
      <c r="G69" s="146">
        <f t="shared" ref="G69:M69" si="56">+G296</f>
        <v>51772000000</v>
      </c>
      <c r="H69" s="146">
        <f t="shared" si="56"/>
        <v>57265576501.303993</v>
      </c>
      <c r="I69" s="146">
        <f t="shared" si="56"/>
        <v>61610888446.222939</v>
      </c>
      <c r="J69" s="146">
        <f t="shared" si="56"/>
        <v>63201245051.409317</v>
      </c>
      <c r="K69" s="146">
        <f t="shared" si="56"/>
        <v>67405276960.87442</v>
      </c>
      <c r="L69" s="146">
        <f t="shared" si="56"/>
        <v>67722379138.812408</v>
      </c>
      <c r="M69" s="146">
        <f t="shared" si="56"/>
        <v>70102820765.541641</v>
      </c>
      <c r="N69" s="146">
        <f t="shared" si="50"/>
        <v>72566934915.450439</v>
      </c>
      <c r="O69" s="146">
        <f t="shared" si="50"/>
        <v>75117662677.7285</v>
      </c>
      <c r="P69" s="146">
        <f t="shared" si="50"/>
        <v>77758048520.850647</v>
      </c>
      <c r="Q69" s="147">
        <f t="shared" si="50"/>
        <v>78146838763.45491</v>
      </c>
      <c r="V69" s="292">
        <f>SUMIF(EPI!$B$2:$B$372,PRY!$A69,EPI!H$2:H$372)</f>
        <v>25837233232</v>
      </c>
    </row>
    <row r="70" spans="1:22" hidden="1" outlineLevel="1" x14ac:dyDescent="0.25">
      <c r="B70" s="108"/>
      <c r="C70" s="108"/>
      <c r="G70" s="6"/>
      <c r="H70" s="6"/>
      <c r="I70" s="6"/>
      <c r="J70" s="6"/>
      <c r="K70" s="6"/>
      <c r="L70" s="6"/>
      <c r="M70" s="9"/>
      <c r="N70" s="9"/>
      <c r="O70" s="9"/>
      <c r="P70" s="9"/>
      <c r="Q70" s="9"/>
    </row>
    <row r="71" spans="1:22" s="16" customFormat="1" hidden="1" outlineLevel="1" x14ac:dyDescent="0.25">
      <c r="A71" s="261"/>
      <c r="B71" s="172" t="s">
        <v>1080</v>
      </c>
      <c r="C71" s="173" t="s">
        <v>11</v>
      </c>
      <c r="D71" s="177">
        <f>SUM(D72:D73)</f>
        <v>1258660361437</v>
      </c>
      <c r="E71" s="175">
        <f t="shared" ref="E71:M71" si="57">SUM(E72:E73)</f>
        <v>1415181059075</v>
      </c>
      <c r="F71" s="175">
        <f t="shared" si="57"/>
        <v>1799539968307</v>
      </c>
      <c r="G71" s="175">
        <f t="shared" si="57"/>
        <v>1605994516712.717</v>
      </c>
      <c r="H71" s="175">
        <f t="shared" si="57"/>
        <v>1707452000000</v>
      </c>
      <c r="I71" s="175">
        <f t="shared" si="57"/>
        <v>1712147197886.7397</v>
      </c>
      <c r="J71" s="175">
        <f t="shared" si="57"/>
        <v>1854255415311.3391</v>
      </c>
      <c r="K71" s="175">
        <f t="shared" si="57"/>
        <v>1902466056109.4341</v>
      </c>
      <c r="L71" s="175">
        <f t="shared" si="57"/>
        <v>1942417843287.7319</v>
      </c>
      <c r="M71" s="175">
        <f t="shared" si="57"/>
        <v>1983208617996.7742</v>
      </c>
      <c r="N71" s="175">
        <f>SUM(N72:N73)</f>
        <v>2034772042064.6904</v>
      </c>
      <c r="O71" s="175">
        <f>SUM(O72:O73)</f>
        <v>2101919519452.825</v>
      </c>
      <c r="P71" s="175">
        <f t="shared" ref="P71:V71" si="58">SUM(P72:P73)</f>
        <v>2175486702633.6736</v>
      </c>
      <c r="Q71" s="176">
        <f t="shared" si="58"/>
        <v>2186364136146.8418</v>
      </c>
      <c r="V71" s="290">
        <f t="shared" si="58"/>
        <v>644963876477</v>
      </c>
    </row>
    <row r="72" spans="1:22" hidden="1" outlineLevel="1" x14ac:dyDescent="0.25">
      <c r="A72" s="107" t="s">
        <v>1040</v>
      </c>
      <c r="B72" s="139" t="s">
        <v>1080</v>
      </c>
      <c r="C72" s="139" t="s">
        <v>11</v>
      </c>
      <c r="D72" s="150">
        <f>SUMIF(EPI!$B$2:$B$372,PRY!$A72,EPI!E$2:E$372)</f>
        <v>1258660361437</v>
      </c>
      <c r="E72" s="143">
        <f>SUMIF(EPI!$B$2:$B$372,PRY!$A72,EPI!F$2:F$372)</f>
        <v>1345654277534</v>
      </c>
      <c r="F72" s="143">
        <f>SUMIF(EPI!$B$2:$B$372,PRY!$A72,EPI!G$2:G$372)</f>
        <v>1755958477800</v>
      </c>
      <c r="G72" s="143">
        <f>+G359</f>
        <v>1561062000000</v>
      </c>
      <c r="H72" s="143">
        <f t="shared" ref="H72:M72" si="59">+H359</f>
        <v>1665301000000</v>
      </c>
      <c r="I72" s="143">
        <f t="shared" si="59"/>
        <v>1709347197886.7397</v>
      </c>
      <c r="J72" s="143">
        <f t="shared" si="59"/>
        <v>1851223015311.3391</v>
      </c>
      <c r="K72" s="143">
        <f t="shared" si="59"/>
        <v>1899354813709.4341</v>
      </c>
      <c r="L72" s="143">
        <f t="shared" si="59"/>
        <v>1939241264797.332</v>
      </c>
      <c r="M72" s="143">
        <f t="shared" si="59"/>
        <v>1979965331358.0759</v>
      </c>
      <c r="N72" s="143">
        <f t="shared" ref="N72:Q73" si="60">+N359</f>
        <v>2031444429973.386</v>
      </c>
      <c r="O72" s="143">
        <f t="shared" si="60"/>
        <v>2098482096162.5076</v>
      </c>
      <c r="P72" s="143">
        <f t="shared" si="60"/>
        <v>2171928969528.1951</v>
      </c>
      <c r="Q72" s="144">
        <f t="shared" si="60"/>
        <v>2182788614375.8357</v>
      </c>
      <c r="V72" s="291">
        <f>SUMIF(EPI!$B$2:$B$372,PRY!$A72,EPI!H$2:H$372)</f>
        <v>613885701540</v>
      </c>
    </row>
    <row r="73" spans="1:22" hidden="1" outlineLevel="1" x14ac:dyDescent="0.25">
      <c r="A73" s="107" t="s">
        <v>1041</v>
      </c>
      <c r="B73" s="140" t="s">
        <v>1059</v>
      </c>
      <c r="C73" s="140" t="s">
        <v>11</v>
      </c>
      <c r="D73" s="151">
        <f>SUMIF(EPI!$B$2:$B$372,PRY!$A73,EPI!E$2:E$372)</f>
        <v>0</v>
      </c>
      <c r="E73" s="146">
        <f>SUMIF(EPI!$B$2:$B$372,PRY!$A73,EPI!F$2:F$372)</f>
        <v>69526781541</v>
      </c>
      <c r="F73" s="146">
        <f>SUMIF(EPI!$B$2:$B$372,PRY!$A73,EPI!G$2:G$372)</f>
        <v>43581490507</v>
      </c>
      <c r="G73" s="146">
        <f>+G360</f>
        <v>44932516712.717041</v>
      </c>
      <c r="H73" s="146">
        <f t="shared" ref="H73:M73" si="61">+H360</f>
        <v>42151000000</v>
      </c>
      <c r="I73" s="465">
        <f t="shared" si="61"/>
        <v>2800000000</v>
      </c>
      <c r="J73" s="465">
        <f t="shared" si="61"/>
        <v>3032400000</v>
      </c>
      <c r="K73" s="465">
        <f t="shared" si="61"/>
        <v>3111242400</v>
      </c>
      <c r="L73" s="465">
        <f t="shared" si="61"/>
        <v>3176578490.3999023</v>
      </c>
      <c r="M73" s="465">
        <f t="shared" si="61"/>
        <v>3243286638.6982422</v>
      </c>
      <c r="N73" s="465">
        <f t="shared" si="60"/>
        <v>3327612091.3044434</v>
      </c>
      <c r="O73" s="465">
        <f t="shared" si="60"/>
        <v>3437423290.3173828</v>
      </c>
      <c r="P73" s="465">
        <f t="shared" si="60"/>
        <v>3557733105.4785156</v>
      </c>
      <c r="Q73" s="466">
        <f t="shared" si="60"/>
        <v>3575521771.0061035</v>
      </c>
      <c r="V73" s="292">
        <f>SUMIF(EPI!$B$2:$B$372,PRY!$A73,EPI!H$2:H$372)</f>
        <v>31078174937</v>
      </c>
    </row>
    <row r="74" spans="1:22" hidden="1" outlineLevel="1" x14ac:dyDescent="0.25">
      <c r="A74" s="107"/>
      <c r="B74" s="108"/>
      <c r="C74" s="108"/>
      <c r="D74" s="9"/>
      <c r="E74" s="9"/>
      <c r="F74" s="9"/>
      <c r="G74" s="9"/>
      <c r="H74" s="9"/>
      <c r="I74" s="9"/>
      <c r="J74" s="8"/>
      <c r="K74" s="449"/>
      <c r="L74" s="9"/>
      <c r="M74" s="9"/>
      <c r="N74" s="9"/>
      <c r="O74" s="9"/>
      <c r="P74" s="9"/>
      <c r="Q74" s="9"/>
    </row>
    <row r="75" spans="1:22" s="16" customFormat="1" hidden="1" outlineLevel="1" x14ac:dyDescent="0.25">
      <c r="A75" s="261"/>
      <c r="B75" s="172" t="s">
        <v>1109</v>
      </c>
      <c r="C75" s="173" t="s">
        <v>11</v>
      </c>
      <c r="D75" s="177">
        <f>+D62-D71</f>
        <v>-68234882483</v>
      </c>
      <c r="E75" s="175">
        <f t="shared" ref="E75:M75" si="62">+E62-E71</f>
        <v>-65227594499</v>
      </c>
      <c r="F75" s="175">
        <f t="shared" si="62"/>
        <v>-355124443459</v>
      </c>
      <c r="G75" s="175">
        <f t="shared" si="62"/>
        <v>-7576958999.7612305</v>
      </c>
      <c r="H75" s="175">
        <f>+H62-H71</f>
        <v>15341689557.355469</v>
      </c>
      <c r="I75" s="175">
        <f t="shared" si="62"/>
        <v>138814365254.64551</v>
      </c>
      <c r="J75" s="175">
        <f t="shared" si="62"/>
        <v>61000718898.833252</v>
      </c>
      <c r="K75" s="175">
        <f t="shared" si="62"/>
        <v>84274598324.632813</v>
      </c>
      <c r="L75" s="175">
        <f t="shared" si="62"/>
        <v>112104551842.45532</v>
      </c>
      <c r="M75" s="175">
        <f t="shared" si="62"/>
        <v>143530239322.23901</v>
      </c>
      <c r="N75" s="175">
        <f>+N62-N71</f>
        <v>166721686089.08545</v>
      </c>
      <c r="O75" s="175">
        <f>+O62-O71</f>
        <v>176956713245.55591</v>
      </c>
      <c r="P75" s="175">
        <f>+P62-P71</f>
        <v>183492029644.05542</v>
      </c>
      <c r="Q75" s="176">
        <f>+Q62-Q71</f>
        <v>184409489792.27588</v>
      </c>
      <c r="V75" s="290">
        <f>+V62-V71</f>
        <v>17810860565</v>
      </c>
    </row>
    <row r="76" spans="1:22" s="6" customFormat="1" hidden="1" outlineLevel="1" x14ac:dyDescent="0.25">
      <c r="A76" s="262"/>
      <c r="B76" s="155" t="s">
        <v>1110</v>
      </c>
      <c r="C76" s="156" t="s">
        <v>1111</v>
      </c>
      <c r="D76" s="157">
        <f>+D75/D$62</f>
        <v>-5.7319742973710924E-2</v>
      </c>
      <c r="E76" s="158">
        <f t="shared" ref="E76:M76" si="63">+E75/E$62</f>
        <v>-4.8318402234322204E-2</v>
      </c>
      <c r="F76" s="158">
        <f t="shared" si="63"/>
        <v>-0.24586030636604433</v>
      </c>
      <c r="G76" s="158">
        <f t="shared" si="63"/>
        <v>-4.7402876446142632E-3</v>
      </c>
      <c r="H76" s="158">
        <f t="shared" si="63"/>
        <v>8.9051229119008861E-3</v>
      </c>
      <c r="I76" s="158">
        <f t="shared" si="63"/>
        <v>7.4995811916836769E-2</v>
      </c>
      <c r="J76" s="158">
        <f t="shared" si="63"/>
        <v>3.1849901331337693E-2</v>
      </c>
      <c r="K76" s="158">
        <f t="shared" si="63"/>
        <v>4.2418520070320327E-2</v>
      </c>
      <c r="L76" s="158">
        <f t="shared" si="63"/>
        <v>5.4564774814903724E-2</v>
      </c>
      <c r="M76" s="158">
        <f t="shared" si="63"/>
        <v>6.748841722070878E-2</v>
      </c>
      <c r="N76" s="158">
        <f>+N75/N$62</f>
        <v>7.5731165597688138E-2</v>
      </c>
      <c r="O76" s="158">
        <f>+O75/O$62</f>
        <v>7.76508661183518E-2</v>
      </c>
      <c r="P76" s="158">
        <f>+P75/P$62</f>
        <v>7.7784520535665605E-2</v>
      </c>
      <c r="Q76" s="159">
        <f>+Q75/Q$62</f>
        <v>7.7784520535665674E-2</v>
      </c>
      <c r="V76" s="293">
        <f>+V75/V$62</f>
        <v>2.6873173598153194E-2</v>
      </c>
    </row>
    <row r="77" spans="1:22" s="473" customFormat="1" hidden="1" outlineLevel="1" x14ac:dyDescent="0.25">
      <c r="A77" s="467"/>
      <c r="B77" s="468" t="s">
        <v>1499</v>
      </c>
      <c r="C77" s="469" t="s">
        <v>1111</v>
      </c>
      <c r="D77" s="470">
        <f t="shared" ref="D77:I77" si="64">+D71/D62</f>
        <v>1.0573197429737109</v>
      </c>
      <c r="E77" s="471">
        <f t="shared" si="64"/>
        <v>1.0483184022343222</v>
      </c>
      <c r="F77" s="471">
        <f t="shared" si="64"/>
        <v>1.2458603063660443</v>
      </c>
      <c r="G77" s="471">
        <f>+G71/G62</f>
        <v>1.0047402876446143</v>
      </c>
      <c r="H77" s="471">
        <f>+H71/H62</f>
        <v>0.99109487708809907</v>
      </c>
      <c r="I77" s="471">
        <f t="shared" si="64"/>
        <v>0.9250041880831632</v>
      </c>
      <c r="J77" s="471">
        <f t="shared" ref="J77:Q77" si="65">+J71/J62</f>
        <v>0.96815009866866231</v>
      </c>
      <c r="K77" s="471">
        <f t="shared" si="65"/>
        <v>0.95758147992967968</v>
      </c>
      <c r="L77" s="471">
        <f t="shared" si="65"/>
        <v>0.94543522518509626</v>
      </c>
      <c r="M77" s="471">
        <f t="shared" si="65"/>
        <v>0.93251158277929125</v>
      </c>
      <c r="N77" s="471">
        <f t="shared" si="65"/>
        <v>0.92426883440231189</v>
      </c>
      <c r="O77" s="471">
        <f t="shared" si="65"/>
        <v>0.92234913388164819</v>
      </c>
      <c r="P77" s="471">
        <f t="shared" si="65"/>
        <v>0.92221547946433435</v>
      </c>
      <c r="Q77" s="472">
        <f t="shared" si="65"/>
        <v>0.92221547946433435</v>
      </c>
      <c r="V77" s="474">
        <f>+V71/V62</f>
        <v>0.97312682640184678</v>
      </c>
    </row>
    <row r="78" spans="1:22" s="473" customFormat="1" hidden="1" outlineLevel="1" x14ac:dyDescent="0.25">
      <c r="A78" s="467"/>
      <c r="B78" s="468" t="s">
        <v>1500</v>
      </c>
      <c r="C78" s="469" t="s">
        <v>1111</v>
      </c>
      <c r="D78" s="470">
        <f>+D72/(D64+D63)</f>
        <v>1.1492735179795706</v>
      </c>
      <c r="E78" s="471">
        <f t="shared" ref="E78:Q78" si="66">+E72/(E64+E63)</f>
        <v>1.0757457371073085</v>
      </c>
      <c r="F78" s="471">
        <f t="shared" si="66"/>
        <v>1.2831452151857543</v>
      </c>
      <c r="G78" s="471">
        <f>+G72/(G64+G63)</f>
        <v>1.0232828573170341</v>
      </c>
      <c r="H78" s="471">
        <f t="shared" si="66"/>
        <v>1.0129004401321526</v>
      </c>
      <c r="I78" s="471">
        <f>+I72/(I64+I63)</f>
        <v>0.9663633865164275</v>
      </c>
      <c r="J78" s="471">
        <f t="shared" si="66"/>
        <v>1.0110337125994213</v>
      </c>
      <c r="K78" s="471">
        <f t="shared" si="66"/>
        <v>1.0020968836661417</v>
      </c>
      <c r="L78" s="471">
        <f t="shared" si="66"/>
        <v>0.98839870378508499</v>
      </c>
      <c r="M78" s="471">
        <f t="shared" si="66"/>
        <v>0.9748877713998666</v>
      </c>
      <c r="N78" s="471">
        <f t="shared" si="66"/>
        <v>0.96627044723592059</v>
      </c>
      <c r="O78" s="471">
        <f t="shared" si="66"/>
        <v>0.96426350963117047</v>
      </c>
      <c r="P78" s="471">
        <f t="shared" si="66"/>
        <v>0.96412378154688827</v>
      </c>
      <c r="Q78" s="472">
        <f t="shared" si="66"/>
        <v>0.96412378154688816</v>
      </c>
      <c r="V78" s="475">
        <f>+V72/(V64+V63)</f>
        <v>0.96771705851933576</v>
      </c>
    </row>
    <row r="79" spans="1:22" s="463" customFormat="1" hidden="1" outlineLevel="1" x14ac:dyDescent="0.25">
      <c r="A79" s="458"/>
      <c r="B79" s="487"/>
      <c r="C79" s="487"/>
      <c r="D79" s="452"/>
      <c r="E79" s="452"/>
      <c r="F79" s="452"/>
      <c r="G79" s="452"/>
      <c r="H79" s="452"/>
      <c r="I79" s="488"/>
      <c r="J79" s="488"/>
      <c r="K79" s="488"/>
      <c r="L79" s="488"/>
      <c r="M79" s="488"/>
      <c r="N79" s="488"/>
      <c r="O79" s="488"/>
      <c r="P79" s="488"/>
      <c r="Q79" s="488"/>
    </row>
    <row r="80" spans="1:22" s="16" customFormat="1" hidden="1" outlineLevel="1" x14ac:dyDescent="0.25">
      <c r="B80" s="172" t="s">
        <v>1083</v>
      </c>
      <c r="C80" s="173" t="s">
        <v>11</v>
      </c>
      <c r="D80" s="177">
        <f t="shared" ref="D80:M80" si="67">SUM(D81:D96)</f>
        <v>65530159990</v>
      </c>
      <c r="E80" s="175">
        <f t="shared" si="67"/>
        <v>71672195100</v>
      </c>
      <c r="F80" s="175">
        <f t="shared" si="67"/>
        <v>55702955352</v>
      </c>
      <c r="G80" s="175">
        <f t="shared" si="67"/>
        <v>64068065028.206337</v>
      </c>
      <c r="H80" s="175">
        <f t="shared" si="67"/>
        <v>77051747590.220627</v>
      </c>
      <c r="I80" s="175">
        <f t="shared" si="67"/>
        <v>81415998462.348679</v>
      </c>
      <c r="J80" s="175">
        <f t="shared" si="67"/>
        <v>85207296442.773682</v>
      </c>
      <c r="K80" s="175">
        <f t="shared" si="67"/>
        <v>88745280732.696564</v>
      </c>
      <c r="L80" s="175">
        <f t="shared" si="67"/>
        <v>92207252723.335251</v>
      </c>
      <c r="M80" s="175">
        <f t="shared" si="67"/>
        <v>95833014459.738922</v>
      </c>
      <c r="N80" s="175">
        <f>SUM(N81:N96)</f>
        <v>99661968480.460495</v>
      </c>
      <c r="O80" s="175">
        <f>SUM(O81:O96)</f>
        <v>103643987404.91692</v>
      </c>
      <c r="P80" s="175">
        <f>SUM(P81:P96)</f>
        <v>107784793793.87553</v>
      </c>
      <c r="Q80" s="176">
        <f>SUM(Q81:Q96)</f>
        <v>112085542607.87593</v>
      </c>
    </row>
    <row r="81" spans="1:17" hidden="1" outlineLevel="1" x14ac:dyDescent="0.25">
      <c r="A81" s="107" t="s">
        <v>1025</v>
      </c>
      <c r="B81" s="139" t="s">
        <v>1084</v>
      </c>
      <c r="C81" s="139" t="s">
        <v>11</v>
      </c>
      <c r="D81" s="150">
        <f>SUMIF(EPI!$B$2:$B$372,PRY!$A81,EPI!E$2:E$372)</f>
        <v>45736365551</v>
      </c>
      <c r="E81" s="143">
        <f>SUMIF(EPI!$B$2:$B$372,PRY!$A81,EPI!F$2:F$372)</f>
        <v>29123076065</v>
      </c>
      <c r="F81" s="143">
        <f>SUMIF(EPI!$B$2:$B$372,PRY!$A81,EPI!G$2:G$372)</f>
        <v>35904439728</v>
      </c>
      <c r="G81" s="143">
        <f t="shared" ref="G81:G92" si="68">+G370</f>
        <v>41362474477.382294</v>
      </c>
      <c r="H81" s="143">
        <f t="shared" ref="H81:M81" si="69">+H370</f>
        <v>49447389457</v>
      </c>
      <c r="I81" s="143">
        <f>+I370</f>
        <v>55404624288.868782</v>
      </c>
      <c r="J81" s="143">
        <f t="shared" si="69"/>
        <v>57897832381.867874</v>
      </c>
      <c r="K81" s="143">
        <f t="shared" si="69"/>
        <v>60213745677.142586</v>
      </c>
      <c r="L81" s="143">
        <f t="shared" si="69"/>
        <v>62622295504.228294</v>
      </c>
      <c r="M81" s="143">
        <f t="shared" si="69"/>
        <v>65127187324.397423</v>
      </c>
      <c r="N81" s="143">
        <f t="shared" ref="N81:Q92" si="70">+N370</f>
        <v>67732274817.373322</v>
      </c>
      <c r="O81" s="143">
        <f t="shared" si="70"/>
        <v>70441565810.068253</v>
      </c>
      <c r="P81" s="143">
        <f t="shared" si="70"/>
        <v>73259228442.470993</v>
      </c>
      <c r="Q81" s="144">
        <f t="shared" si="70"/>
        <v>76189597580.16983</v>
      </c>
    </row>
    <row r="82" spans="1:17" hidden="1" outlineLevel="1" x14ac:dyDescent="0.25">
      <c r="A82" s="107" t="s">
        <v>1029</v>
      </c>
      <c r="B82" s="139" t="s">
        <v>1085</v>
      </c>
      <c r="C82" s="139" t="s">
        <v>11</v>
      </c>
      <c r="D82" s="150">
        <f>SUMIF(EPI!$B$2:$B$372,PRY!$A82,EPI!E$2:E$372)</f>
        <v>1533788346</v>
      </c>
      <c r="E82" s="143">
        <f>SUMIF(EPI!$B$2:$B$372,PRY!$A82,EPI!F$2:F$372)</f>
        <v>6055376476</v>
      </c>
      <c r="F82" s="143">
        <f>SUMIF(EPI!$B$2:$B$372,PRY!$A82,EPI!G$2:G$372)</f>
        <v>5502047988</v>
      </c>
      <c r="G82" s="143">
        <f t="shared" si="68"/>
        <v>7482085938.300499</v>
      </c>
      <c r="H82" s="143">
        <f t="shared" ref="H82:M82" si="71">+H371</f>
        <v>13612495299.495375</v>
      </c>
      <c r="I82" s="143">
        <f t="shared" si="71"/>
        <v>8490284318.7033072</v>
      </c>
      <c r="J82" s="143">
        <f t="shared" si="71"/>
        <v>8872347113.0449562</v>
      </c>
      <c r="K82" s="143">
        <f t="shared" si="71"/>
        <v>9227240997.5667534</v>
      </c>
      <c r="L82" s="143">
        <f t="shared" si="71"/>
        <v>9596330637.4694233</v>
      </c>
      <c r="M82" s="143">
        <f t="shared" si="71"/>
        <v>9980183862.9682007</v>
      </c>
      <c r="N82" s="143">
        <f t="shared" si="70"/>
        <v>10379391217.486929</v>
      </c>
      <c r="O82" s="143">
        <f t="shared" si="70"/>
        <v>10794566866.186405</v>
      </c>
      <c r="P82" s="143">
        <f t="shared" si="70"/>
        <v>11226349540.833862</v>
      </c>
      <c r="Q82" s="144">
        <f t="shared" si="70"/>
        <v>11675403522.467218</v>
      </c>
    </row>
    <row r="83" spans="1:17" hidden="1" outlineLevel="1" x14ac:dyDescent="0.25">
      <c r="A83" s="107" t="s">
        <v>1026</v>
      </c>
      <c r="B83" s="139" t="s">
        <v>232</v>
      </c>
      <c r="C83" s="139" t="s">
        <v>11</v>
      </c>
      <c r="D83" s="150">
        <f>SUMIF(EPI!$B$2:$B$372,PRY!$A83,EPI!E$2:E$372)</f>
        <v>5035383009</v>
      </c>
      <c r="E83" s="143">
        <f>SUMIF(EPI!$B$2:$B$372,PRY!$A83,EPI!F$2:F$372)</f>
        <v>17389895401</v>
      </c>
      <c r="F83" s="143">
        <f>SUMIF(EPI!$B$2:$B$372,PRY!$A83,EPI!G$2:G$372)</f>
        <v>5930368525</v>
      </c>
      <c r="G83" s="143">
        <f t="shared" si="68"/>
        <v>8064547427.9062891</v>
      </c>
      <c r="H83" s="143">
        <f t="shared" ref="H83:M83" si="72">+H372</f>
        <v>7127261354.5656004</v>
      </c>
      <c r="I83" s="143">
        <f t="shared" si="72"/>
        <v>9151231505.3874378</v>
      </c>
      <c r="J83" s="143">
        <f t="shared" si="72"/>
        <v>9563036923.1298714</v>
      </c>
      <c r="K83" s="143">
        <f t="shared" si="72"/>
        <v>9945558400.0550671</v>
      </c>
      <c r="L83" s="143">
        <f t="shared" si="72"/>
        <v>10343380736.057268</v>
      </c>
      <c r="M83" s="143">
        <f t="shared" si="72"/>
        <v>10757115965.499559</v>
      </c>
      <c r="N83" s="143">
        <f t="shared" si="70"/>
        <v>11187400604.119543</v>
      </c>
      <c r="O83" s="143">
        <f t="shared" si="70"/>
        <v>11634896628.284325</v>
      </c>
      <c r="P83" s="143">
        <f t="shared" si="70"/>
        <v>12100292493.415699</v>
      </c>
      <c r="Q83" s="144">
        <f t="shared" si="70"/>
        <v>12584304193.152327</v>
      </c>
    </row>
    <row r="84" spans="1:17" hidden="1" outlineLevel="1" x14ac:dyDescent="0.25">
      <c r="A84" s="107" t="s">
        <v>1033</v>
      </c>
      <c r="B84" s="139" t="s">
        <v>207</v>
      </c>
      <c r="C84" s="139" t="s">
        <v>11</v>
      </c>
      <c r="D84" s="150">
        <f>SUMIF(EPI!$B$2:$B$372,PRY!$A84,EPI!E$2:E$372)</f>
        <v>856613609</v>
      </c>
      <c r="E84" s="143">
        <f>SUMIF(EPI!$B$2:$B$372,PRY!$A84,EPI!F$2:F$372)</f>
        <v>2367548655</v>
      </c>
      <c r="F84" s="143">
        <f>SUMIF(EPI!$B$2:$B$372,PRY!$A84,EPI!G$2:G$372)</f>
        <v>2797673542</v>
      </c>
      <c r="G84" s="143">
        <f t="shared" si="68"/>
        <v>3804480425.1448393</v>
      </c>
      <c r="H84" s="143">
        <f t="shared" ref="H84:M84" si="73">+H373</f>
        <v>3362312212.896965</v>
      </c>
      <c r="I84" s="143">
        <f t="shared" si="73"/>
        <v>4317127704.8654003</v>
      </c>
      <c r="J84" s="143">
        <f t="shared" si="73"/>
        <v>4511398451.5843439</v>
      </c>
      <c r="K84" s="143">
        <f t="shared" si="73"/>
        <v>4691854389.6477175</v>
      </c>
      <c r="L84" s="143">
        <f t="shared" si="73"/>
        <v>4879528565.2336254</v>
      </c>
      <c r="M84" s="143">
        <f t="shared" si="73"/>
        <v>5074709707.8429708</v>
      </c>
      <c r="N84" s="143">
        <f t="shared" si="70"/>
        <v>5277698096.1566896</v>
      </c>
      <c r="O84" s="143">
        <f t="shared" si="70"/>
        <v>5488806020.0029573</v>
      </c>
      <c r="P84" s="143">
        <f t="shared" si="70"/>
        <v>5708358260.8030767</v>
      </c>
      <c r="Q84" s="144">
        <f t="shared" si="70"/>
        <v>5936692591.235199</v>
      </c>
    </row>
    <row r="85" spans="1:17" hidden="1" outlineLevel="1" x14ac:dyDescent="0.25">
      <c r="A85" s="107" t="s">
        <v>1027</v>
      </c>
      <c r="B85" s="139" t="s">
        <v>505</v>
      </c>
      <c r="C85" s="139" t="s">
        <v>11</v>
      </c>
      <c r="D85" s="150">
        <f>SUMIF(EPI!$B$2:$B$372,PRY!$A85,EPI!E$2:E$372)</f>
        <v>98336380</v>
      </c>
      <c r="E85" s="143">
        <f>SUMIF(EPI!$B$2:$B$372,PRY!$A85,EPI!F$2:F$372)</f>
        <v>1155775064</v>
      </c>
      <c r="F85" s="143">
        <f>SUMIF(EPI!$B$2:$B$372,PRY!$A85,EPI!G$2:G$372)</f>
        <v>338442284</v>
      </c>
      <c r="G85" s="143">
        <f t="shared" si="68"/>
        <v>460238489.29808789</v>
      </c>
      <c r="H85" s="143">
        <f t="shared" ref="H85:M85" si="74">+H374</f>
        <v>406748181.21933079</v>
      </c>
      <c r="I85" s="143">
        <f t="shared" si="74"/>
        <v>522254844.54123068</v>
      </c>
      <c r="J85" s="143">
        <f t="shared" si="74"/>
        <v>545756312.54558611</v>
      </c>
      <c r="K85" s="143">
        <f t="shared" si="74"/>
        <v>567586565.04740942</v>
      </c>
      <c r="L85" s="143">
        <f t="shared" si="74"/>
        <v>590290027.64930582</v>
      </c>
      <c r="M85" s="143">
        <f t="shared" si="74"/>
        <v>613901628.75527811</v>
      </c>
      <c r="N85" s="143">
        <f t="shared" si="70"/>
        <v>638457693.90548921</v>
      </c>
      <c r="O85" s="143">
        <f t="shared" si="70"/>
        <v>663996001.66170883</v>
      </c>
      <c r="P85" s="143">
        <f t="shared" si="70"/>
        <v>690555841.72817719</v>
      </c>
      <c r="Q85" s="144">
        <f t="shared" si="70"/>
        <v>718178075.3973043</v>
      </c>
    </row>
    <row r="86" spans="1:17" hidden="1" outlineLevel="1" x14ac:dyDescent="0.25">
      <c r="A86" s="107" t="s">
        <v>1031</v>
      </c>
      <c r="B86" s="139" t="s">
        <v>1086</v>
      </c>
      <c r="C86" s="139" t="s">
        <v>11</v>
      </c>
      <c r="D86" s="150">
        <f>SUMIF(EPI!$B$2:$B$372,PRY!$A86,EPI!E$2:E$372)</f>
        <v>300089869</v>
      </c>
      <c r="E86" s="143">
        <f>SUMIF(EPI!$B$2:$B$372,PRY!$A86,EPI!F$2:F$372)</f>
        <v>645947837</v>
      </c>
      <c r="F86" s="143">
        <f>SUMIF(EPI!$B$2:$B$372,PRY!$A86,EPI!G$2:G$372)</f>
        <v>654851891</v>
      </c>
      <c r="G86" s="143">
        <f t="shared" si="68"/>
        <v>890515338.28981042</v>
      </c>
      <c r="H86" s="143">
        <f t="shared" ref="H86:M86" si="75">+H375</f>
        <v>787016954.51354849</v>
      </c>
      <c r="I86" s="143">
        <f t="shared" si="75"/>
        <v>1010510768.6004622</v>
      </c>
      <c r="J86" s="143">
        <f t="shared" si="75"/>
        <v>1055983753.187483</v>
      </c>
      <c r="K86" s="143">
        <f t="shared" si="75"/>
        <v>1098223103.3149822</v>
      </c>
      <c r="L86" s="143">
        <f t="shared" si="75"/>
        <v>1142152027.4475815</v>
      </c>
      <c r="M86" s="143">
        <f t="shared" si="75"/>
        <v>1187838108.5454848</v>
      </c>
      <c r="N86" s="143">
        <f t="shared" si="70"/>
        <v>1235351632.8873043</v>
      </c>
      <c r="O86" s="143">
        <f t="shared" si="70"/>
        <v>1284765698.2027965</v>
      </c>
      <c r="P86" s="143">
        <f t="shared" si="70"/>
        <v>1336156326.1309085</v>
      </c>
      <c r="Q86" s="144">
        <f t="shared" si="70"/>
        <v>1389602579.1761448</v>
      </c>
    </row>
    <row r="87" spans="1:17" hidden="1" outlineLevel="1" x14ac:dyDescent="0.25">
      <c r="A87" s="107" t="s">
        <v>1035</v>
      </c>
      <c r="B87" s="139" t="s">
        <v>1087</v>
      </c>
      <c r="C87" s="139" t="s">
        <v>11</v>
      </c>
      <c r="D87" s="150">
        <f>SUMIF(EPI!$B$2:$B$372,PRY!$A87,EPI!E$2:E$372)</f>
        <v>383037235</v>
      </c>
      <c r="E87" s="143">
        <f>SUMIF(EPI!$B$2:$B$372,PRY!$A87,EPI!F$2:F$372)</f>
        <v>260890987</v>
      </c>
      <c r="F87" s="143">
        <f>SUMIF(EPI!$B$2:$B$372,PRY!$A87,EPI!G$2:G$372)</f>
        <v>168163867</v>
      </c>
      <c r="G87" s="143">
        <f t="shared" si="68"/>
        <v>228681485.03159425</v>
      </c>
      <c r="H87" s="143">
        <f t="shared" ref="H87:M87" si="76">+H376</f>
        <v>202103431.75990221</v>
      </c>
      <c r="I87" s="143">
        <f t="shared" si="76"/>
        <v>259495926.98510802</v>
      </c>
      <c r="J87" s="143">
        <f t="shared" si="76"/>
        <v>271173243.69943786</v>
      </c>
      <c r="K87" s="143">
        <f t="shared" si="76"/>
        <v>282020173.44741535</v>
      </c>
      <c r="L87" s="143">
        <f t="shared" si="76"/>
        <v>293300980.38531196</v>
      </c>
      <c r="M87" s="143">
        <f t="shared" si="76"/>
        <v>305033019.60072446</v>
      </c>
      <c r="N87" s="143">
        <f t="shared" si="70"/>
        <v>317234340.38475347</v>
      </c>
      <c r="O87" s="143">
        <f t="shared" si="70"/>
        <v>329923714.00014359</v>
      </c>
      <c r="P87" s="143">
        <f t="shared" si="70"/>
        <v>343120662.56014937</v>
      </c>
      <c r="Q87" s="144">
        <f t="shared" si="70"/>
        <v>356845489.06255531</v>
      </c>
    </row>
    <row r="88" spans="1:17" hidden="1" outlineLevel="1" x14ac:dyDescent="0.25">
      <c r="A88" s="107" t="s">
        <v>1030</v>
      </c>
      <c r="B88" s="139" t="s">
        <v>1088</v>
      </c>
      <c r="C88" s="139" t="s">
        <v>11</v>
      </c>
      <c r="D88" s="150">
        <f>SUMIF(EPI!$B$2:$B$372,PRY!$A88,EPI!E$2:E$372)</f>
        <v>928146955</v>
      </c>
      <c r="E88" s="143">
        <f>SUMIF(EPI!$B$2:$B$372,PRY!$A88,EPI!F$2:F$372)</f>
        <v>88824766</v>
      </c>
      <c r="F88" s="143">
        <f>SUMIF(EPI!$B$2:$B$372,PRY!$A88,EPI!G$2:G$372)</f>
        <v>354194514</v>
      </c>
      <c r="G88" s="143">
        <f t="shared" si="68"/>
        <v>481659519.94648057</v>
      </c>
      <c r="H88" s="143">
        <f t="shared" ref="H88:M88" si="77">+H377</f>
        <v>425679594.95086259</v>
      </c>
      <c r="I88" s="143">
        <f t="shared" si="77"/>
        <v>546562322.71032298</v>
      </c>
      <c r="J88" s="143">
        <f t="shared" si="77"/>
        <v>571157627.23228741</v>
      </c>
      <c r="K88" s="143">
        <f t="shared" si="77"/>
        <v>594003932.32157886</v>
      </c>
      <c r="L88" s="143">
        <f t="shared" si="77"/>
        <v>617764089.61444199</v>
      </c>
      <c r="M88" s="143">
        <f t="shared" si="77"/>
        <v>642474653.19901967</v>
      </c>
      <c r="N88" s="143">
        <f t="shared" si="70"/>
        <v>668173639.32698059</v>
      </c>
      <c r="O88" s="143">
        <f t="shared" si="70"/>
        <v>694900584.90005982</v>
      </c>
      <c r="P88" s="143">
        <f t="shared" si="70"/>
        <v>722696608.29606223</v>
      </c>
      <c r="Q88" s="144">
        <f t="shared" si="70"/>
        <v>751604472.62790477</v>
      </c>
    </row>
    <row r="89" spans="1:17" hidden="1" outlineLevel="1" x14ac:dyDescent="0.25">
      <c r="A89" s="107" t="s">
        <v>1032</v>
      </c>
      <c r="B89" s="139" t="s">
        <v>154</v>
      </c>
      <c r="C89" s="139" t="s">
        <v>11</v>
      </c>
      <c r="D89" s="150">
        <f>SUMIF(EPI!$B$2:$B$372,PRY!$A89,EPI!E$2:E$372)</f>
        <v>49118822</v>
      </c>
      <c r="E89" s="143">
        <f>SUMIF(EPI!$B$2:$B$372,PRY!$A89,EPI!F$2:F$372)</f>
        <v>32658742</v>
      </c>
      <c r="F89" s="143">
        <f>SUMIF(EPI!$B$2:$B$372,PRY!$A89,EPI!G$2:G$372)</f>
        <v>215077</v>
      </c>
      <c r="G89" s="143">
        <f t="shared" si="68"/>
        <v>50000000</v>
      </c>
      <c r="H89" s="143">
        <f t="shared" ref="H89:M89" si="78">+H378</f>
        <v>51749999.999999993</v>
      </c>
      <c r="I89" s="143">
        <f t="shared" si="78"/>
        <v>54523800</v>
      </c>
      <c r="J89" s="143">
        <f t="shared" si="78"/>
        <v>56704752</v>
      </c>
      <c r="K89" s="143">
        <f t="shared" si="78"/>
        <v>58405894.560000002</v>
      </c>
      <c r="L89" s="143">
        <f t="shared" si="78"/>
        <v>60158071.396800004</v>
      </c>
      <c r="M89" s="143">
        <f t="shared" si="78"/>
        <v>61962813.538704008</v>
      </c>
      <c r="N89" s="143">
        <f t="shared" si="70"/>
        <v>63821697.94486513</v>
      </c>
      <c r="O89" s="143">
        <f t="shared" si="70"/>
        <v>65736348.883211084</v>
      </c>
      <c r="P89" s="143">
        <f t="shared" si="70"/>
        <v>67708439.349707425</v>
      </c>
      <c r="Q89" s="144">
        <f t="shared" si="70"/>
        <v>69739692.530198649</v>
      </c>
    </row>
    <row r="90" spans="1:17" hidden="1" outlineLevel="1" x14ac:dyDescent="0.25">
      <c r="A90" s="107" t="s">
        <v>1028</v>
      </c>
      <c r="B90" s="139" t="s">
        <v>1089</v>
      </c>
      <c r="C90" s="139" t="s">
        <v>11</v>
      </c>
      <c r="D90" s="150">
        <f>SUMIF(EPI!$B$2:$B$372,PRY!$A90,EPI!E$2:E$372)</f>
        <v>192053854</v>
      </c>
      <c r="E90" s="143">
        <f>SUMIF(EPI!$B$2:$B$372,PRY!$A90,EPI!F$2:F$372)</f>
        <v>657682178</v>
      </c>
      <c r="F90" s="143">
        <f>SUMIF(EPI!$B$2:$B$372,PRY!$A90,EPI!G$2:G$372)</f>
        <v>700193460</v>
      </c>
      <c r="G90" s="143">
        <f t="shared" si="68"/>
        <v>952174109.09211659</v>
      </c>
      <c r="H90" s="143">
        <f t="shared" ref="H90:M90" si="79">+H379</f>
        <v>841509556.63882196</v>
      </c>
      <c r="I90" s="143">
        <f t="shared" si="79"/>
        <v>1080477954.1113322</v>
      </c>
      <c r="J90" s="143">
        <f t="shared" si="79"/>
        <v>1129099462.0463419</v>
      </c>
      <c r="K90" s="143">
        <f t="shared" si="79"/>
        <v>1174263440.5281956</v>
      </c>
      <c r="L90" s="143">
        <f t="shared" si="79"/>
        <v>1221233978.1493235</v>
      </c>
      <c r="M90" s="143">
        <f t="shared" si="79"/>
        <v>1270083337.2752964</v>
      </c>
      <c r="N90" s="143">
        <f t="shared" si="70"/>
        <v>1320886670.7663083</v>
      </c>
      <c r="O90" s="143">
        <f t="shared" si="70"/>
        <v>1373722137.5969605</v>
      </c>
      <c r="P90" s="143">
        <f t="shared" si="70"/>
        <v>1428671023.1008391</v>
      </c>
      <c r="Q90" s="144">
        <f t="shared" si="70"/>
        <v>1485817864.0248728</v>
      </c>
    </row>
    <row r="91" spans="1:17" hidden="1" outlineLevel="1" x14ac:dyDescent="0.25">
      <c r="A91" s="107" t="s">
        <v>1036</v>
      </c>
      <c r="B91" s="139" t="s">
        <v>540</v>
      </c>
      <c r="C91" s="139" t="s">
        <v>11</v>
      </c>
      <c r="D91" s="150">
        <f>SUMIF(EPI!$B$2:$B$372,PRY!$A91,EPI!E$2:E$372)</f>
        <v>0</v>
      </c>
      <c r="E91" s="143">
        <f>SUMIF(EPI!$B$2:$B$372,PRY!$A91,EPI!F$2:F$372)</f>
        <v>167531000</v>
      </c>
      <c r="F91" s="143">
        <f>SUMIF(EPI!$B$2:$B$372,PRY!$A91,EPI!G$2:G$372)</f>
        <v>0</v>
      </c>
      <c r="G91" s="143">
        <f t="shared" si="68"/>
        <v>0</v>
      </c>
      <c r="H91" s="143">
        <f t="shared" ref="H91:M91" si="80">+H380</f>
        <v>0</v>
      </c>
      <c r="I91" s="143">
        <f t="shared" si="80"/>
        <v>0</v>
      </c>
      <c r="J91" s="143">
        <f t="shared" si="80"/>
        <v>0</v>
      </c>
      <c r="K91" s="143">
        <f t="shared" si="80"/>
        <v>0</v>
      </c>
      <c r="L91" s="143">
        <f t="shared" si="80"/>
        <v>0</v>
      </c>
      <c r="M91" s="143">
        <f t="shared" si="80"/>
        <v>0</v>
      </c>
      <c r="N91" s="143">
        <f t="shared" si="70"/>
        <v>0</v>
      </c>
      <c r="O91" s="143">
        <f t="shared" si="70"/>
        <v>0</v>
      </c>
      <c r="P91" s="143">
        <f t="shared" si="70"/>
        <v>0</v>
      </c>
      <c r="Q91" s="144">
        <f t="shared" si="70"/>
        <v>0</v>
      </c>
    </row>
    <row r="92" spans="1:17" hidden="1" outlineLevel="1" x14ac:dyDescent="0.25">
      <c r="A92" s="107" t="s">
        <v>1034</v>
      </c>
      <c r="B92" s="139" t="s">
        <v>1090</v>
      </c>
      <c r="C92" s="139" t="s">
        <v>11</v>
      </c>
      <c r="D92" s="150">
        <f>SUMIF(EPI!$B$2:$B$372,PRY!$A92,EPI!E$2:E$372)</f>
        <v>3909178</v>
      </c>
      <c r="E92" s="143">
        <f>SUMIF(EPI!$B$2:$B$372,PRY!$A92,EPI!F$2:F$372)</f>
        <v>73951894</v>
      </c>
      <c r="F92" s="143">
        <f>SUMIF(EPI!$B$2:$B$372,PRY!$A92,EPI!G$2:G$372)</f>
        <v>9805632</v>
      </c>
      <c r="G92" s="143">
        <f t="shared" si="68"/>
        <v>13334413.197297143</v>
      </c>
      <c r="H92" s="143">
        <f t="shared" ref="H92:M92" si="81">+H381</f>
        <v>11784647.398568168</v>
      </c>
      <c r="I92" s="143">
        <f t="shared" si="81"/>
        <v>15131202.742351534</v>
      </c>
      <c r="J92" s="143">
        <f t="shared" si="81"/>
        <v>15812106.865757352</v>
      </c>
      <c r="K92" s="143">
        <f t="shared" si="81"/>
        <v>16444591.140387645</v>
      </c>
      <c r="L92" s="143">
        <f t="shared" si="81"/>
        <v>17102374.78600315</v>
      </c>
      <c r="M92" s="143">
        <f t="shared" si="81"/>
        <v>17786469.777443275</v>
      </c>
      <c r="N92" s="143">
        <f t="shared" si="70"/>
        <v>18497928.568541009</v>
      </c>
      <c r="O92" s="143">
        <f t="shared" si="70"/>
        <v>19237845.711282648</v>
      </c>
      <c r="P92" s="143">
        <f t="shared" si="70"/>
        <v>20007359.539733957</v>
      </c>
      <c r="Q92" s="144">
        <f t="shared" si="70"/>
        <v>20807653.921323314</v>
      </c>
    </row>
    <row r="93" spans="1:17" hidden="1" outlineLevel="1" x14ac:dyDescent="0.25">
      <c r="A93" s="107"/>
      <c r="B93" s="139" t="s">
        <v>1398</v>
      </c>
      <c r="C93" s="139" t="s">
        <v>11</v>
      </c>
      <c r="D93" s="150"/>
      <c r="E93" s="143"/>
      <c r="F93" s="143"/>
      <c r="G93" s="143"/>
      <c r="H93" s="256">
        <f>30000000*12</f>
        <v>360000000</v>
      </c>
      <c r="I93" s="143"/>
      <c r="J93" s="143"/>
      <c r="K93" s="143"/>
      <c r="L93" s="143"/>
      <c r="M93" s="143"/>
      <c r="N93" s="143"/>
      <c r="O93" s="143"/>
      <c r="P93" s="143"/>
      <c r="Q93" s="144"/>
    </row>
    <row r="94" spans="1:17" hidden="1" outlineLevel="1" x14ac:dyDescent="0.25">
      <c r="A94" s="107" t="s">
        <v>1037</v>
      </c>
      <c r="B94" s="139" t="s">
        <v>1092</v>
      </c>
      <c r="C94" s="139" t="s">
        <v>11</v>
      </c>
      <c r="D94" s="150">
        <f>SUMIF(EPI!$B$2:$B$372,PRY!$A94,EPI!E$2:E$372)</f>
        <v>66661429</v>
      </c>
      <c r="E94" s="143">
        <f>SUMIF(EPI!$B$2:$B$372,PRY!$A94,EPI!F$2:F$372)</f>
        <v>47286786</v>
      </c>
      <c r="F94" s="143">
        <f>SUMIF(EPI!$B$2:$B$372,PRY!$A94,EPI!G$2:G$372)</f>
        <v>109068276</v>
      </c>
      <c r="G94" s="143">
        <f>+G495</f>
        <v>277873404.61703646</v>
      </c>
      <c r="H94" s="143">
        <f t="shared" ref="H94:M94" si="82">+H495</f>
        <v>415696899.78162491</v>
      </c>
      <c r="I94" s="143">
        <f t="shared" si="82"/>
        <v>563773824.83293581</v>
      </c>
      <c r="J94" s="143">
        <f t="shared" si="82"/>
        <v>716994315.56974959</v>
      </c>
      <c r="K94" s="143">
        <f t="shared" si="82"/>
        <v>875933567.92447495</v>
      </c>
      <c r="L94" s="143">
        <f t="shared" si="82"/>
        <v>823715730.91785347</v>
      </c>
      <c r="M94" s="143">
        <f t="shared" si="82"/>
        <v>794737568.33878613</v>
      </c>
      <c r="N94" s="143">
        <f>+N495</f>
        <v>822780141.53977716</v>
      </c>
      <c r="O94" s="143">
        <f>+O495</f>
        <v>851869749.41883397</v>
      </c>
      <c r="P94" s="143">
        <f>+P495</f>
        <v>881648795.64632702</v>
      </c>
      <c r="Q94" s="144">
        <f>+Q495</f>
        <v>906948894.11104143</v>
      </c>
    </row>
    <row r="95" spans="1:17" hidden="1" outlineLevel="1" x14ac:dyDescent="0.25">
      <c r="A95" s="107" t="s">
        <v>1038</v>
      </c>
      <c r="B95" s="139" t="s">
        <v>1091</v>
      </c>
      <c r="C95" s="139" t="s">
        <v>11</v>
      </c>
      <c r="D95" s="150">
        <f>SUMIF(EPI!$B$2:$B$372,PRY!$A95,EPI!E$2:E$372)</f>
        <v>242857325</v>
      </c>
      <c r="E95" s="143">
        <f>SUMIF(EPI!$B$2:$B$372,PRY!$A95,EPI!F$2:F$372)</f>
        <v>243145867</v>
      </c>
      <c r="F95" s="143">
        <f>SUMIF(EPI!$B$2:$B$372,PRY!$A95,EPI!G$2:G$372)</f>
        <v>0</v>
      </c>
      <c r="G95" s="143">
        <v>0</v>
      </c>
      <c r="H95" s="143">
        <v>0</v>
      </c>
      <c r="I95" s="143">
        <v>0</v>
      </c>
      <c r="J95" s="143">
        <v>0</v>
      </c>
      <c r="K95" s="143">
        <v>0</v>
      </c>
      <c r="L95" s="143">
        <v>0</v>
      </c>
      <c r="M95" s="143">
        <v>0</v>
      </c>
      <c r="N95" s="143">
        <v>0</v>
      </c>
      <c r="O95" s="143">
        <v>0</v>
      </c>
      <c r="P95" s="143">
        <v>0</v>
      </c>
      <c r="Q95" s="144">
        <v>0</v>
      </c>
    </row>
    <row r="96" spans="1:17" hidden="1" outlineLevel="1" x14ac:dyDescent="0.25">
      <c r="A96" s="107" t="s">
        <v>1039</v>
      </c>
      <c r="B96" s="140" t="s">
        <v>1093</v>
      </c>
      <c r="C96" s="140" t="s">
        <v>11</v>
      </c>
      <c r="D96" s="151">
        <f>SUMIF(EPI!$B$2:$B$372,PRY!$A96,EPI!E$2:E$372)</f>
        <v>10103798428</v>
      </c>
      <c r="E96" s="146">
        <f>SUMIF(EPI!$B$2:$B$372,PRY!$A96,EPI!F$2:F$372)</f>
        <v>13362603382</v>
      </c>
      <c r="F96" s="146">
        <f>SUMIF(EPI!$B$2:$B$372,PRY!$A96,EPI!G$2:G$372)</f>
        <v>3233490568</v>
      </c>
      <c r="G96" s="146">
        <v>0</v>
      </c>
      <c r="H96" s="146">
        <v>0</v>
      </c>
      <c r="I96" s="146">
        <v>0</v>
      </c>
      <c r="J96" s="146">
        <v>0</v>
      </c>
      <c r="K96" s="146">
        <v>0</v>
      </c>
      <c r="L96" s="146">
        <v>0</v>
      </c>
      <c r="M96" s="146">
        <v>0</v>
      </c>
      <c r="N96" s="146">
        <v>0</v>
      </c>
      <c r="O96" s="146">
        <v>0</v>
      </c>
      <c r="P96" s="146">
        <v>0</v>
      </c>
      <c r="Q96" s="147">
        <v>0</v>
      </c>
    </row>
    <row r="97" spans="1:17" hidden="1" outlineLevel="1" x14ac:dyDescent="0.25">
      <c r="B97" s="108"/>
      <c r="C97" s="108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</row>
    <row r="98" spans="1:17" s="16" customFormat="1" hidden="1" outlineLevel="1" x14ac:dyDescent="0.25">
      <c r="A98" s="261"/>
      <c r="B98" s="172" t="s">
        <v>1170</v>
      </c>
      <c r="C98" s="173" t="s">
        <v>11</v>
      </c>
      <c r="D98" s="177">
        <f>+D101+D94+D95+D96</f>
        <v>-123351725291</v>
      </c>
      <c r="E98" s="175">
        <f t="shared" ref="E98:M98" si="83">+E101+E94+E95+E96</f>
        <v>-123246753564</v>
      </c>
      <c r="F98" s="175">
        <f t="shared" si="83"/>
        <v>-407484839967</v>
      </c>
      <c r="G98" s="175">
        <f t="shared" si="83"/>
        <v>-71367150623.350525</v>
      </c>
      <c r="H98" s="175">
        <f t="shared" si="83"/>
        <v>-61294361133.083534</v>
      </c>
      <c r="I98" s="175">
        <f t="shared" si="83"/>
        <v>57962140617.129768</v>
      </c>
      <c r="J98" s="175">
        <f t="shared" si="83"/>
        <v>-23489583228.370682</v>
      </c>
      <c r="K98" s="175">
        <f t="shared" si="83"/>
        <v>-3594748840.1392765</v>
      </c>
      <c r="L98" s="175">
        <f t="shared" si="83"/>
        <v>20721014850.037926</v>
      </c>
      <c r="M98" s="175">
        <f t="shared" si="83"/>
        <v>48491962430.838875</v>
      </c>
      <c r="N98" s="175">
        <f>+N101+N94+N95+N96</f>
        <v>67882497750.164734</v>
      </c>
      <c r="O98" s="175">
        <f>+O101+O94+O95+O96</f>
        <v>74164595590.057831</v>
      </c>
      <c r="P98" s="175">
        <f>+P101+P94+P95+P96</f>
        <v>76588884645.826218</v>
      </c>
      <c r="Q98" s="176">
        <f>+Q101+Q94+Q95+Q96</f>
        <v>73230896078.510986</v>
      </c>
    </row>
    <row r="99" spans="1:17" s="6" customFormat="1" hidden="1" outlineLevel="1" x14ac:dyDescent="0.25">
      <c r="A99" s="262"/>
      <c r="B99" s="155" t="s">
        <v>1171</v>
      </c>
      <c r="C99" s="156" t="s">
        <v>1111</v>
      </c>
      <c r="D99" s="157">
        <f>+D98/D$62</f>
        <v>-0.10361986321007374</v>
      </c>
      <c r="E99" s="158">
        <f t="shared" ref="E99:M99" si="84">+E98/E$62</f>
        <v>-9.1297038600297198E-2</v>
      </c>
      <c r="F99" s="158">
        <f t="shared" si="84"/>
        <v>-0.282110537416081</v>
      </c>
      <c r="G99" s="158">
        <f t="shared" si="84"/>
        <v>-4.4648627812537235E-2</v>
      </c>
      <c r="H99" s="158">
        <f t="shared" si="84"/>
        <v>-3.5578468568010689E-2</v>
      </c>
      <c r="I99" s="158">
        <f t="shared" si="84"/>
        <v>3.1314610617174846E-2</v>
      </c>
      <c r="J99" s="158">
        <f t="shared" si="84"/>
        <v>-1.2264460511991777E-2</v>
      </c>
      <c r="K99" s="158">
        <f t="shared" si="84"/>
        <v>-1.8093699507866863E-3</v>
      </c>
      <c r="L99" s="158">
        <f t="shared" si="84"/>
        <v>1.0085562902187256E-2</v>
      </c>
      <c r="M99" s="158">
        <f t="shared" si="84"/>
        <v>2.2801089218809072E-2</v>
      </c>
      <c r="N99" s="158">
        <f>+N98/N$62</f>
        <v>3.0834745010649013E-2</v>
      </c>
      <c r="O99" s="158">
        <f>+O98/O$62</f>
        <v>3.2544371882030958E-2</v>
      </c>
      <c r="P99" s="158">
        <f>+P98/P$62</f>
        <v>3.2466966996296427E-2</v>
      </c>
      <c r="Q99" s="159">
        <f>+Q98/Q$62</f>
        <v>3.0889029335098392E-2</v>
      </c>
    </row>
    <row r="100" spans="1:17" hidden="1" outlineLevel="1" x14ac:dyDescent="0.25">
      <c r="B100" s="108"/>
      <c r="C100" s="108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</row>
    <row r="101" spans="1:17" s="16" customFormat="1" hidden="1" outlineLevel="1" x14ac:dyDescent="0.25">
      <c r="A101" s="261"/>
      <c r="B101" s="172" t="s">
        <v>1112</v>
      </c>
      <c r="C101" s="173" t="s">
        <v>11</v>
      </c>
      <c r="D101" s="177">
        <f t="shared" ref="D101:M101" si="85">+D75-D80</f>
        <v>-133765042473</v>
      </c>
      <c r="E101" s="175">
        <f t="shared" si="85"/>
        <v>-136899789599</v>
      </c>
      <c r="F101" s="175">
        <f t="shared" si="85"/>
        <v>-410827398811</v>
      </c>
      <c r="G101" s="175">
        <f t="shared" si="85"/>
        <v>-71645024027.96756</v>
      </c>
      <c r="H101" s="175">
        <f t="shared" si="85"/>
        <v>-61710058032.865158</v>
      </c>
      <c r="I101" s="175">
        <f t="shared" si="85"/>
        <v>57398366792.296829</v>
      </c>
      <c r="J101" s="175">
        <f t="shared" si="85"/>
        <v>-24206577543.94043</v>
      </c>
      <c r="K101" s="175">
        <f t="shared" si="85"/>
        <v>-4470682408.0637512</v>
      </c>
      <c r="L101" s="175">
        <f t="shared" si="85"/>
        <v>19897299119.120071</v>
      </c>
      <c r="M101" s="175">
        <f t="shared" si="85"/>
        <v>47697224862.500092</v>
      </c>
      <c r="N101" s="175">
        <f>+N75-N80</f>
        <v>67059717608.624954</v>
      </c>
      <c r="O101" s="175">
        <f>+O75-O80</f>
        <v>73312725840.638992</v>
      </c>
      <c r="P101" s="175">
        <f>+P75-P80</f>
        <v>75707235850.179886</v>
      </c>
      <c r="Q101" s="176">
        <f>+Q75-Q80</f>
        <v>72323947184.399948</v>
      </c>
    </row>
    <row r="102" spans="1:17" s="6" customFormat="1" hidden="1" outlineLevel="1" x14ac:dyDescent="0.25">
      <c r="A102" s="262"/>
      <c r="B102" s="155" t="s">
        <v>1319</v>
      </c>
      <c r="C102" s="156" t="s">
        <v>1111</v>
      </c>
      <c r="D102" s="157">
        <f t="shared" ref="D102:Q102" si="86">+D101/D$62</f>
        <v>-0.11236742226866341</v>
      </c>
      <c r="E102" s="158">
        <f t="shared" si="86"/>
        <v>-0.10141074725268263</v>
      </c>
      <c r="F102" s="158">
        <f t="shared" si="86"/>
        <v>-0.28442466294748014</v>
      </c>
      <c r="G102" s="158">
        <f t="shared" si="86"/>
        <v>-4.4822470625559524E-2</v>
      </c>
      <c r="H102" s="158">
        <f t="shared" si="86"/>
        <v>-3.5819760895874062E-2</v>
      </c>
      <c r="I102" s="158">
        <f t="shared" si="86"/>
        <v>3.1010026321066544E-2</v>
      </c>
      <c r="J102" s="158">
        <f t="shared" si="86"/>
        <v>-1.2638820005097083E-2</v>
      </c>
      <c r="K102" s="158">
        <f t="shared" si="86"/>
        <v>-2.2502596894496264E-3</v>
      </c>
      <c r="L102" s="158">
        <f t="shared" si="86"/>
        <v>9.6846348164821329E-3</v>
      </c>
      <c r="M102" s="158">
        <f t="shared" si="86"/>
        <v>2.2427400852884992E-2</v>
      </c>
      <c r="N102" s="158">
        <f t="shared" si="86"/>
        <v>3.0461007792587626E-2</v>
      </c>
      <c r="O102" s="158">
        <f t="shared" si="86"/>
        <v>3.2170560554677673E-2</v>
      </c>
      <c r="P102" s="158">
        <f t="shared" si="86"/>
        <v>3.2093225264934973E-2</v>
      </c>
      <c r="Q102" s="159">
        <f t="shared" si="86"/>
        <v>3.0506475351796094E-2</v>
      </c>
    </row>
    <row r="103" spans="1:17" hidden="1" outlineLevel="1" x14ac:dyDescent="0.25">
      <c r="B103" s="108"/>
      <c r="C103" s="108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</row>
    <row r="104" spans="1:17" s="16" customFormat="1" hidden="1" outlineLevel="1" x14ac:dyDescent="0.25">
      <c r="A104" s="261"/>
      <c r="B104" s="172" t="s">
        <v>424</v>
      </c>
      <c r="C104" s="173" t="s">
        <v>11</v>
      </c>
      <c r="D104" s="177">
        <f>SUM(D105:D106)</f>
        <v>36232032769</v>
      </c>
      <c r="E104" s="175">
        <f t="shared" ref="E104:M104" si="87">SUM(E105:E106)</f>
        <v>47113459692</v>
      </c>
      <c r="F104" s="175">
        <f t="shared" si="87"/>
        <v>21241116141</v>
      </c>
      <c r="G104" s="175">
        <f t="shared" si="87"/>
        <v>43317115814.021103</v>
      </c>
      <c r="H104" s="175">
        <f t="shared" si="87"/>
        <v>200775620721.79825</v>
      </c>
      <c r="I104" s="175">
        <f t="shared" si="87"/>
        <v>9176048846.6502666</v>
      </c>
      <c r="J104" s="175">
        <f t="shared" si="87"/>
        <v>30131912110.893547</v>
      </c>
      <c r="K104" s="175">
        <f t="shared" si="87"/>
        <v>32163866526.932423</v>
      </c>
      <c r="L104" s="175">
        <f t="shared" si="87"/>
        <v>33784659594.311604</v>
      </c>
      <c r="M104" s="175">
        <f t="shared" si="87"/>
        <v>27074592466.726555</v>
      </c>
      <c r="N104" s="175">
        <f>SUM(N105:N106)</f>
        <v>28221518404.896915</v>
      </c>
      <c r="O104" s="175">
        <f>SUM(O105:O106)</f>
        <v>29156832790.186886</v>
      </c>
      <c r="P104" s="175">
        <f>SUM(P105:P106)</f>
        <v>30134162575.952377</v>
      </c>
      <c r="Q104" s="176">
        <f>SUM(Q105:Q106)</f>
        <v>30387563595.244377</v>
      </c>
    </row>
    <row r="105" spans="1:17" hidden="1" outlineLevel="1" x14ac:dyDescent="0.25">
      <c r="A105" s="107" t="s">
        <v>1023</v>
      </c>
      <c r="B105" s="139" t="s">
        <v>394</v>
      </c>
      <c r="C105" s="139" t="s">
        <v>11</v>
      </c>
      <c r="D105" s="150">
        <f>SUMIF(EPI!$B$2:$B$372,PRY!$A105,EPI!E$2:E$372)</f>
        <v>3518851459</v>
      </c>
      <c r="E105" s="143">
        <f>SUMIF(EPI!$B$2:$B$372,PRY!$A105,EPI!F$2:F$372)</f>
        <v>1697101859</v>
      </c>
      <c r="F105" s="143">
        <f>SUMIF(EPI!$B$2:$B$372,PRY!$A105,EPI!G$2:G$372)</f>
        <v>4177150446</v>
      </c>
      <c r="G105" s="143">
        <f>+G341+ACRE2delete!H23</f>
        <v>4795252673.1388674</v>
      </c>
      <c r="H105" s="143">
        <f>+H341+ACRE2delete!I23</f>
        <v>6553933801.8170671</v>
      </c>
      <c r="I105" s="143">
        <f>+I341+ACRE2delete!J23</f>
        <v>3623164157.22611</v>
      </c>
      <c r="J105" s="143">
        <f>+J341+ACRE2delete!K23</f>
        <v>3318326231.9511318</v>
      </c>
      <c r="K105" s="143">
        <f>+K341+ACRE2delete!L23</f>
        <v>4349497364.855485</v>
      </c>
      <c r="L105" s="143">
        <f>+L341+ACRE2delete!M23</f>
        <v>5021346062.4889822</v>
      </c>
      <c r="M105" s="143">
        <f>+M341+ACRE2delete!N23</f>
        <v>5807203893.5364218</v>
      </c>
      <c r="N105" s="143">
        <f>+N341+ACRE2delete!O23</f>
        <v>6206581123.3591576</v>
      </c>
      <c r="O105" s="143">
        <f>+O341+ACRE2delete!P23</f>
        <v>6368070463.2030745</v>
      </c>
      <c r="P105" s="143">
        <f>+P341+ACRE2delete!Q23</f>
        <v>6544375253.175087</v>
      </c>
      <c r="Q105" s="144">
        <f>+Q341+ACRE2delete!R23</f>
        <v>6679827335.8531971</v>
      </c>
    </row>
    <row r="106" spans="1:17" s="463" customFormat="1" hidden="1" outlineLevel="1" x14ac:dyDescent="0.25">
      <c r="A106" s="458" t="s">
        <v>1024</v>
      </c>
      <c r="B106" s="476" t="s">
        <v>412</v>
      </c>
      <c r="C106" s="476" t="s">
        <v>11</v>
      </c>
      <c r="D106" s="477">
        <f>SUMIF(EPI!$B$2:$B$372,PRY!$A106,EPI!E$2:E$372)</f>
        <v>32713181310</v>
      </c>
      <c r="E106" s="465">
        <f>SUMIF(EPI!$B$2:$B$372,PRY!$A106,EPI!F$2:F$372)</f>
        <v>45416357833</v>
      </c>
      <c r="F106" s="465">
        <f>SUMIF(EPI!$B$2:$B$372,PRY!$A106,EPI!G$2:G$372)</f>
        <v>17063965695</v>
      </c>
      <c r="G106" s="465">
        <f>+G339</f>
        <v>38521863140.882233</v>
      </c>
      <c r="H106" s="465">
        <f t="shared" ref="H106:M106" si="88">+H339</f>
        <v>194221686919.98117</v>
      </c>
      <c r="I106" s="465">
        <f t="shared" si="88"/>
        <v>5552884689.4241562</v>
      </c>
      <c r="J106" s="465">
        <f t="shared" si="88"/>
        <v>26813585878.942413</v>
      </c>
      <c r="K106" s="465">
        <f t="shared" si="88"/>
        <v>27814369162.076939</v>
      </c>
      <c r="L106" s="465">
        <f t="shared" si="88"/>
        <v>28763313531.82262</v>
      </c>
      <c r="M106" s="465">
        <f t="shared" si="88"/>
        <v>21267388573.190132</v>
      </c>
      <c r="N106" s="465">
        <f>+N339</f>
        <v>22014937281.537758</v>
      </c>
      <c r="O106" s="465">
        <f>+O339</f>
        <v>22788762326.98381</v>
      </c>
      <c r="P106" s="465">
        <f>+P339</f>
        <v>23589787322.77729</v>
      </c>
      <c r="Q106" s="466">
        <f>+Q339</f>
        <v>23707736259.391178</v>
      </c>
    </row>
    <row r="107" spans="1:17" hidden="1" outlineLevel="1" x14ac:dyDescent="0.25">
      <c r="A107" s="107"/>
      <c r="B107" s="108"/>
      <c r="C107" s="108"/>
      <c r="D107" s="9">
        <f>+D106-D111</f>
        <v>23927889971</v>
      </c>
      <c r="E107" s="9">
        <f>+E106-E111</f>
        <v>23043812996</v>
      </c>
      <c r="F107" s="9">
        <f>+F106-F111</f>
        <v>17063965695</v>
      </c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</row>
    <row r="108" spans="1:17" s="478" customFormat="1" hidden="1" outlineLevel="1" x14ac:dyDescent="0.25">
      <c r="B108" s="479" t="s">
        <v>608</v>
      </c>
      <c r="C108" s="480" t="s">
        <v>11</v>
      </c>
      <c r="D108" s="481">
        <f>SUM(D109:D112)</f>
        <v>11797174922</v>
      </c>
      <c r="E108" s="482">
        <f t="shared" ref="E108:M108" si="89">SUM(E109:E112)</f>
        <v>29586405422</v>
      </c>
      <c r="F108" s="482">
        <f t="shared" si="89"/>
        <v>5413823466</v>
      </c>
      <c r="G108" s="482">
        <f t="shared" si="89"/>
        <v>10195000000</v>
      </c>
      <c r="H108" s="482">
        <f t="shared" si="89"/>
        <v>15167625000</v>
      </c>
      <c r="I108" s="482">
        <f t="shared" si="89"/>
        <v>42652785700</v>
      </c>
      <c r="J108" s="482">
        <f t="shared" si="89"/>
        <v>13105057128</v>
      </c>
      <c r="K108" s="482">
        <f t="shared" si="89"/>
        <v>13458608841.84</v>
      </c>
      <c r="L108" s="482">
        <f t="shared" si="89"/>
        <v>13822767107.0952</v>
      </c>
      <c r="M108" s="482">
        <f t="shared" si="89"/>
        <v>14197850120.308056</v>
      </c>
      <c r="N108" s="482">
        <f>SUM(N109:N112)</f>
        <v>14584185623.917297</v>
      </c>
      <c r="O108" s="482">
        <f>SUM(O109:O112)</f>
        <v>14982111192.634815</v>
      </c>
      <c r="P108" s="482">
        <f>SUM(P109:P112)</f>
        <v>15391974528.41386</v>
      </c>
      <c r="Q108" s="483">
        <f>SUM(Q109:Q112)</f>
        <v>15814133764.266277</v>
      </c>
    </row>
    <row r="109" spans="1:17" hidden="1" outlineLevel="1" x14ac:dyDescent="0.25">
      <c r="A109" s="107" t="s">
        <v>1042</v>
      </c>
      <c r="B109" s="139" t="s">
        <v>1094</v>
      </c>
      <c r="C109" s="139" t="s">
        <v>11</v>
      </c>
      <c r="D109" s="150">
        <f>SUMIF(EPI!$B$2:$B$372,PRY!$A109,EPI!E$2:E$372)</f>
        <v>34011218</v>
      </c>
      <c r="E109" s="143">
        <f>SUMIF(EPI!$B$2:$B$372,PRY!$A109,EPI!F$2:F$372)</f>
        <v>80830697</v>
      </c>
      <c r="F109" s="143">
        <f>SUMIF(EPI!$B$2:$B$372,PRY!$A109,EPI!G$2:G$372)</f>
        <v>52988168</v>
      </c>
      <c r="G109" s="143">
        <f>+G500</f>
        <v>75000000</v>
      </c>
      <c r="H109" s="143">
        <f t="shared" ref="H109:M109" si="90">+H500</f>
        <v>77625000</v>
      </c>
      <c r="I109" s="143">
        <f t="shared" si="90"/>
        <v>81785700</v>
      </c>
      <c r="J109" s="143">
        <f t="shared" si="90"/>
        <v>85057128</v>
      </c>
      <c r="K109" s="143">
        <f t="shared" si="90"/>
        <v>87608841.840000004</v>
      </c>
      <c r="L109" s="143">
        <f t="shared" si="90"/>
        <v>90237107.095200002</v>
      </c>
      <c r="M109" s="143">
        <f t="shared" si="90"/>
        <v>92944220.308056012</v>
      </c>
      <c r="N109" s="143">
        <f>+N500</f>
        <v>95732546.917297691</v>
      </c>
      <c r="O109" s="143">
        <f>+O500</f>
        <v>98604523.324816629</v>
      </c>
      <c r="P109" s="143">
        <f>+P500</f>
        <v>101562659.02456114</v>
      </c>
      <c r="Q109" s="144">
        <f>+Q500</f>
        <v>104609538.79529798</v>
      </c>
    </row>
    <row r="110" spans="1:17" hidden="1" outlineLevel="1" x14ac:dyDescent="0.25">
      <c r="A110" s="107" t="s">
        <v>1043</v>
      </c>
      <c r="B110" s="139" t="s">
        <v>610</v>
      </c>
      <c r="C110" s="139" t="s">
        <v>11</v>
      </c>
      <c r="D110" s="150">
        <f>SUMIF(EPI!$B$2:$B$372,PRY!$A110,EPI!E$2:E$372)</f>
        <v>2976449929</v>
      </c>
      <c r="E110" s="143">
        <f>SUMIF(EPI!$B$2:$B$372,PRY!$A110,EPI!F$2:F$372)</f>
        <v>7047842313</v>
      </c>
      <c r="F110" s="143">
        <f>SUMIF(EPI!$B$2:$B$372,PRY!$A110,EPI!G$2:G$372)</f>
        <v>5152753212</v>
      </c>
      <c r="G110" s="143">
        <f t="shared" ref="G110:Q110" si="91">+G508+G510+G526</f>
        <v>7080000000</v>
      </c>
      <c r="H110" s="143">
        <f t="shared" si="91"/>
        <v>3840000000</v>
      </c>
      <c r="I110" s="143">
        <f t="shared" si="91"/>
        <v>1320000000</v>
      </c>
      <c r="J110" s="143">
        <f t="shared" si="91"/>
        <v>1320000000</v>
      </c>
      <c r="K110" s="143">
        <f t="shared" si="91"/>
        <v>1320000000</v>
      </c>
      <c r="L110" s="143">
        <f t="shared" si="91"/>
        <v>1320000000</v>
      </c>
      <c r="M110" s="143">
        <f t="shared" si="91"/>
        <v>1320000000</v>
      </c>
      <c r="N110" s="143">
        <f t="shared" si="91"/>
        <v>1320000000</v>
      </c>
      <c r="O110" s="143">
        <f t="shared" si="91"/>
        <v>1320000000</v>
      </c>
      <c r="P110" s="143">
        <f t="shared" si="91"/>
        <v>1320000000</v>
      </c>
      <c r="Q110" s="144">
        <f t="shared" si="91"/>
        <v>1320000000</v>
      </c>
    </row>
    <row r="111" spans="1:17" hidden="1" outlineLevel="1" x14ac:dyDescent="0.25">
      <c r="A111" s="107" t="s">
        <v>1044</v>
      </c>
      <c r="B111" s="139" t="s">
        <v>412</v>
      </c>
      <c r="C111" s="139" t="s">
        <v>11</v>
      </c>
      <c r="D111" s="150">
        <f>SUMIF(EPI!$B$2:$B$372,PRY!$A111,EPI!E$2:E$372)</f>
        <v>8785291339</v>
      </c>
      <c r="E111" s="143">
        <f>SUMIF(EPI!$B$2:$B$372,PRY!$A111,EPI!F$2:F$372)</f>
        <v>22372544837</v>
      </c>
      <c r="F111" s="143">
        <f>SUMIF(EPI!$B$2:$B$372,PRY!$A111,EPI!G$2:G$372)</f>
        <v>0</v>
      </c>
      <c r="G111" s="143">
        <v>0</v>
      </c>
      <c r="H111" s="143">
        <v>0</v>
      </c>
      <c r="I111" s="143">
        <v>0</v>
      </c>
      <c r="J111" s="143">
        <v>0</v>
      </c>
      <c r="K111" s="143">
        <v>0</v>
      </c>
      <c r="L111" s="143">
        <v>0</v>
      </c>
      <c r="M111" s="143">
        <v>0</v>
      </c>
      <c r="N111" s="143">
        <v>0</v>
      </c>
      <c r="O111" s="143">
        <v>0</v>
      </c>
      <c r="P111" s="143">
        <v>0</v>
      </c>
      <c r="Q111" s="144">
        <v>0</v>
      </c>
    </row>
    <row r="112" spans="1:17" hidden="1" outlineLevel="1" x14ac:dyDescent="0.25">
      <c r="A112" s="107" t="s">
        <v>1082</v>
      </c>
      <c r="B112" s="140" t="s">
        <v>608</v>
      </c>
      <c r="C112" s="140" t="s">
        <v>11</v>
      </c>
      <c r="D112" s="151">
        <f>SUMIF(EPI!$B$2:$B$372,PRY!$A112,EPI!E$2:E$372)</f>
        <v>1422436</v>
      </c>
      <c r="E112" s="146">
        <f>SUMIF(EPI!$B$2:$B$372,PRY!$A112,EPI!F$2:F$372)</f>
        <v>85187575</v>
      </c>
      <c r="F112" s="146">
        <f>SUMIF(EPI!$B$2:$B$372,PRY!$A112,EPI!G$2:G$372)</f>
        <v>208082086</v>
      </c>
      <c r="G112" s="146">
        <f>+G501</f>
        <v>3040000000</v>
      </c>
      <c r="H112" s="146">
        <f t="shared" ref="H112:M112" si="92">+H501</f>
        <v>11250000000</v>
      </c>
      <c r="I112" s="146">
        <f t="shared" si="92"/>
        <v>41251000000</v>
      </c>
      <c r="J112" s="146">
        <f t="shared" si="92"/>
        <v>11700000000</v>
      </c>
      <c r="K112" s="146">
        <f t="shared" si="92"/>
        <v>12051000000</v>
      </c>
      <c r="L112" s="146">
        <f t="shared" si="92"/>
        <v>12412530000</v>
      </c>
      <c r="M112" s="146">
        <f t="shared" si="92"/>
        <v>12784905900</v>
      </c>
      <c r="N112" s="146">
        <f>+N501</f>
        <v>13168453077</v>
      </c>
      <c r="O112" s="146">
        <f>+O501</f>
        <v>13563506669.309999</v>
      </c>
      <c r="P112" s="146">
        <f>+P501</f>
        <v>13970411869.389299</v>
      </c>
      <c r="Q112" s="147">
        <f>+Q501</f>
        <v>14389524225.47098</v>
      </c>
    </row>
    <row r="113" spans="1:17" hidden="1" outlineLevel="1" x14ac:dyDescent="0.25"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</row>
    <row r="114" spans="1:17" s="16" customFormat="1" hidden="1" outlineLevel="1" x14ac:dyDescent="0.25">
      <c r="A114" s="261"/>
      <c r="B114" s="172" t="s">
        <v>1113</v>
      </c>
      <c r="C114" s="173" t="s">
        <v>11</v>
      </c>
      <c r="D114" s="177">
        <f>+D101+D104-D108</f>
        <v>-109330184626</v>
      </c>
      <c r="E114" s="175">
        <f t="shared" ref="E114:M114" si="93">+E101+E104-E108</f>
        <v>-119372735329</v>
      </c>
      <c r="F114" s="175">
        <f t="shared" si="93"/>
        <v>-395000106136</v>
      </c>
      <c r="G114" s="175">
        <f t="shared" si="93"/>
        <v>-38522908213.946457</v>
      </c>
      <c r="H114" s="175">
        <f t="shared" si="93"/>
        <v>123897937688.93311</v>
      </c>
      <c r="I114" s="175">
        <f t="shared" si="93"/>
        <v>23921629938.947098</v>
      </c>
      <c r="J114" s="491">
        <f t="shared" si="93"/>
        <v>-7179722561.0468826</v>
      </c>
      <c r="K114" s="175">
        <f t="shared" si="93"/>
        <v>14234575277.028671</v>
      </c>
      <c r="L114" s="175">
        <f t="shared" si="93"/>
        <v>39859191606.336472</v>
      </c>
      <c r="M114" s="175">
        <f t="shared" si="93"/>
        <v>60573967208.918594</v>
      </c>
      <c r="N114" s="175">
        <f>+N101+N104-N108</f>
        <v>80697050389.604568</v>
      </c>
      <c r="O114" s="175">
        <f>+O101+O104-O108</f>
        <v>87487447438.191071</v>
      </c>
      <c r="P114" s="175">
        <f>+P101+P104-P108</f>
        <v>90449423897.718399</v>
      </c>
      <c r="Q114" s="176">
        <f>+Q101+Q104-Q108</f>
        <v>86897377015.378036</v>
      </c>
    </row>
    <row r="115" spans="1:17" s="6" customFormat="1" hidden="1" outlineLevel="1" x14ac:dyDescent="0.25">
      <c r="A115" s="262"/>
      <c r="B115" s="155" t="s">
        <v>1320</v>
      </c>
      <c r="C115" s="156" t="s">
        <v>1111</v>
      </c>
      <c r="D115" s="157">
        <f t="shared" ref="D115:Q115" si="94">+D114/D$62</f>
        <v>-9.1841267310630789E-2</v>
      </c>
      <c r="E115" s="158">
        <f t="shared" si="94"/>
        <v>-8.8427296541287198E-2</v>
      </c>
      <c r="F115" s="158">
        <f t="shared" si="94"/>
        <v>-0.27346708709570744</v>
      </c>
      <c r="G115" s="158">
        <f t="shared" si="94"/>
        <v>-2.4100653817307735E-2</v>
      </c>
      <c r="H115" s="158">
        <f t="shared" si="94"/>
        <v>7.1916874574091752E-2</v>
      </c>
      <c r="I115" s="158">
        <f t="shared" si="94"/>
        <v>1.2923893405084095E-2</v>
      </c>
      <c r="J115" s="158">
        <f t="shared" si="94"/>
        <v>-3.7487009871960079E-3</v>
      </c>
      <c r="K115" s="158">
        <f t="shared" si="94"/>
        <v>7.1647878374359146E-3</v>
      </c>
      <c r="L115" s="158">
        <f t="shared" si="94"/>
        <v>1.9400709235788471E-2</v>
      </c>
      <c r="M115" s="158">
        <f t="shared" si="94"/>
        <v>2.8482089844015311E-2</v>
      </c>
      <c r="N115" s="158">
        <f t="shared" si="94"/>
        <v>3.6655589501623974E-2</v>
      </c>
      <c r="O115" s="158">
        <f t="shared" si="94"/>
        <v>3.8390609451658807E-2</v>
      </c>
      <c r="P115" s="158">
        <f t="shared" si="94"/>
        <v>3.8342619481941793E-2</v>
      </c>
      <c r="Q115" s="159">
        <f t="shared" si="94"/>
        <v>3.6653595292530726E-2</v>
      </c>
    </row>
    <row r="116" spans="1:17" hidden="1" outlineLevel="1" x14ac:dyDescent="0.25"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</row>
    <row r="117" spans="1:17" hidden="1" outlineLevel="1" x14ac:dyDescent="0.25">
      <c r="B117" s="160" t="s">
        <v>1161</v>
      </c>
      <c r="C117" s="164" t="s">
        <v>11</v>
      </c>
      <c r="D117" s="161">
        <v>0</v>
      </c>
      <c r="E117" s="162">
        <v>0</v>
      </c>
      <c r="F117" s="162">
        <v>0</v>
      </c>
      <c r="G117" s="162">
        <f t="shared" ref="G117:N117" si="95">IF(G56&gt;0,IF(G114&lt;0,0,G114*G276),0)</f>
        <v>0</v>
      </c>
      <c r="H117" s="162">
        <f t="shared" si="95"/>
        <v>0</v>
      </c>
      <c r="I117" s="162">
        <f t="shared" si="95"/>
        <v>0</v>
      </c>
      <c r="J117" s="162">
        <f t="shared" si="95"/>
        <v>0</v>
      </c>
      <c r="K117" s="162">
        <f t="shared" si="95"/>
        <v>0</v>
      </c>
      <c r="L117" s="162">
        <f t="shared" si="95"/>
        <v>0</v>
      </c>
      <c r="M117" s="162">
        <f t="shared" si="95"/>
        <v>0</v>
      </c>
      <c r="N117" s="162">
        <f t="shared" si="95"/>
        <v>0</v>
      </c>
      <c r="O117" s="162">
        <f>IF(O56&gt;0,IF(O114&lt;0,0,O114*O276),0)</f>
        <v>0</v>
      </c>
      <c r="P117" s="162">
        <f>IF(P56&gt;0,IF(P114&lt;0,0,P114*P276),0)</f>
        <v>0</v>
      </c>
      <c r="Q117" s="162">
        <f>IF(Q56&gt;0,IF(Q114&lt;0,0,Q114*Q276),0)</f>
        <v>0</v>
      </c>
    </row>
    <row r="118" spans="1:17" hidden="1" outlineLevel="1" x14ac:dyDescent="0.25">
      <c r="B118" s="108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</row>
    <row r="119" spans="1:17" s="16" customFormat="1" hidden="1" outlineLevel="1" x14ac:dyDescent="0.25">
      <c r="B119" s="172" t="s">
        <v>1162</v>
      </c>
      <c r="C119" s="173" t="s">
        <v>11</v>
      </c>
      <c r="D119" s="177">
        <f>+D114-D117</f>
        <v>-109330184626</v>
      </c>
      <c r="E119" s="175">
        <f>+E114-E117</f>
        <v>-119372735329</v>
      </c>
      <c r="F119" s="175">
        <f>+F114-F117</f>
        <v>-395000106136</v>
      </c>
      <c r="G119" s="491">
        <f>+G114-G117</f>
        <v>-38522908213.946457</v>
      </c>
      <c r="H119" s="175">
        <f t="shared" ref="H119:M119" si="96">+H114-H117</f>
        <v>123897937688.93311</v>
      </c>
      <c r="I119" s="175">
        <f t="shared" si="96"/>
        <v>23921629938.947098</v>
      </c>
      <c r="J119" s="491">
        <f t="shared" si="96"/>
        <v>-7179722561.0468826</v>
      </c>
      <c r="K119" s="175">
        <f t="shared" si="96"/>
        <v>14234575277.028671</v>
      </c>
      <c r="L119" s="175">
        <f t="shared" si="96"/>
        <v>39859191606.336472</v>
      </c>
      <c r="M119" s="175">
        <f t="shared" si="96"/>
        <v>60573967208.918594</v>
      </c>
      <c r="N119" s="175">
        <f>+N114-N117</f>
        <v>80697050389.604568</v>
      </c>
      <c r="O119" s="175">
        <f>+O114-O117</f>
        <v>87487447438.191071</v>
      </c>
      <c r="P119" s="175">
        <f>+P114-P117</f>
        <v>90449423897.718399</v>
      </c>
      <c r="Q119" s="176">
        <f>+Q114-Q117</f>
        <v>86897377015.378036</v>
      </c>
    </row>
    <row r="120" spans="1:17" hidden="1" outlineLevel="1" x14ac:dyDescent="0.25">
      <c r="B120" s="141" t="s">
        <v>1163</v>
      </c>
      <c r="C120" s="156" t="s">
        <v>1111</v>
      </c>
      <c r="D120" s="157">
        <f>+D119/D$62</f>
        <v>-9.1841267310630789E-2</v>
      </c>
      <c r="E120" s="158">
        <f>+E119/E$62</f>
        <v>-8.8427296541287198E-2</v>
      </c>
      <c r="F120" s="158">
        <f>+F119/F$62</f>
        <v>-0.27346708709570744</v>
      </c>
      <c r="G120" s="158">
        <f t="shared" ref="G120:M120" si="97">+G119/G$62</f>
        <v>-2.4100653817307735E-2</v>
      </c>
      <c r="H120" s="158">
        <f t="shared" si="97"/>
        <v>7.1916874574091752E-2</v>
      </c>
      <c r="I120" s="158">
        <f t="shared" si="97"/>
        <v>1.2923893405084095E-2</v>
      </c>
      <c r="J120" s="158">
        <f t="shared" si="97"/>
        <v>-3.7487009871960079E-3</v>
      </c>
      <c r="K120" s="158">
        <f t="shared" si="97"/>
        <v>7.1647878374359146E-3</v>
      </c>
      <c r="L120" s="158">
        <f t="shared" si="97"/>
        <v>1.9400709235788471E-2</v>
      </c>
      <c r="M120" s="158">
        <f t="shared" si="97"/>
        <v>2.8482089844015311E-2</v>
      </c>
      <c r="N120" s="158">
        <f>+N119/N$62</f>
        <v>3.6655589501623974E-2</v>
      </c>
      <c r="O120" s="158">
        <f>+O119/O$62</f>
        <v>3.8390609451658807E-2</v>
      </c>
      <c r="P120" s="158">
        <f>+P119/P$62</f>
        <v>3.8342619481941793E-2</v>
      </c>
      <c r="Q120" s="159">
        <f>+Q119/Q$62</f>
        <v>3.6653595292530726E-2</v>
      </c>
    </row>
    <row r="121" spans="1:17" collapsed="1" x14ac:dyDescent="0.25"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</row>
    <row r="122" spans="1:17" s="260" customFormat="1" x14ac:dyDescent="0.25">
      <c r="B122" s="168" t="s">
        <v>1167</v>
      </c>
      <c r="C122" s="169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1"/>
    </row>
    <row r="123" spans="1:17" hidden="1" outlineLevel="1" x14ac:dyDescent="0.25"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</row>
    <row r="124" spans="1:17" s="16" customFormat="1" hidden="1" outlineLevel="1" x14ac:dyDescent="0.25">
      <c r="B124" s="166" t="s">
        <v>1170</v>
      </c>
      <c r="C124" s="136" t="s">
        <v>11</v>
      </c>
      <c r="D124" s="12"/>
      <c r="E124" s="12"/>
      <c r="F124" s="9"/>
      <c r="G124" s="153">
        <f>+G98</f>
        <v>-71367150623.350525</v>
      </c>
      <c r="H124" s="134">
        <f t="shared" ref="H124:M124" si="98">+H98</f>
        <v>-61294361133.083534</v>
      </c>
      <c r="I124" s="134">
        <f t="shared" si="98"/>
        <v>57962140617.129768</v>
      </c>
      <c r="J124" s="134">
        <f t="shared" si="98"/>
        <v>-23489583228.370682</v>
      </c>
      <c r="K124" s="134">
        <f t="shared" si="98"/>
        <v>-3594748840.1392765</v>
      </c>
      <c r="L124" s="134">
        <f t="shared" si="98"/>
        <v>20721014850.037926</v>
      </c>
      <c r="M124" s="134">
        <f t="shared" si="98"/>
        <v>48491962430.838875</v>
      </c>
      <c r="N124" s="134">
        <f>+N98</f>
        <v>67882497750.164734</v>
      </c>
      <c r="O124" s="134">
        <f>+O98</f>
        <v>74164595590.057831</v>
      </c>
      <c r="P124" s="134">
        <f>+P98</f>
        <v>76588884645.826218</v>
      </c>
      <c r="Q124" s="135">
        <f>+Q98</f>
        <v>73230896078.510986</v>
      </c>
    </row>
    <row r="125" spans="1:17" hidden="1" outlineLevel="1" x14ac:dyDescent="0.25">
      <c r="B125" s="108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</row>
    <row r="126" spans="1:17" s="16" customFormat="1" hidden="1" outlineLevel="1" x14ac:dyDescent="0.25">
      <c r="B126" s="172" t="s">
        <v>1172</v>
      </c>
      <c r="C126" s="178" t="s">
        <v>11</v>
      </c>
      <c r="D126" s="12"/>
      <c r="E126" s="12"/>
      <c r="F126" s="12"/>
      <c r="G126" s="177">
        <f>SUM(G127:G129)</f>
        <v>-23400096848.15905</v>
      </c>
      <c r="H126" s="175">
        <f t="shared" ref="H126:M126" si="99">SUM(H127:H129)</f>
        <v>-21485255266.739193</v>
      </c>
      <c r="I126" s="175">
        <f t="shared" si="99"/>
        <v>8550930451.7239323</v>
      </c>
      <c r="J126" s="175">
        <f t="shared" si="99"/>
        <v>18861643775.496471</v>
      </c>
      <c r="K126" s="175">
        <f t="shared" si="99"/>
        <v>17958349165.449692</v>
      </c>
      <c r="L126" s="175">
        <f t="shared" si="99"/>
        <v>19658435833.235165</v>
      </c>
      <c r="M126" s="175">
        <f t="shared" si="99"/>
        <v>-8186603111.201726</v>
      </c>
      <c r="N126" s="175">
        <f>SUM(N127:N129)</f>
        <v>-8474362210.5604973</v>
      </c>
      <c r="O126" s="175">
        <f>SUM(O127:O129)</f>
        <v>-8772236042.2616653</v>
      </c>
      <c r="P126" s="175">
        <f>SUM(P127:P129)</f>
        <v>-9080580139.1471024</v>
      </c>
      <c r="Q126" s="176">
        <f>SUM(Q127:Q129)</f>
        <v>-1337092820.9158707</v>
      </c>
    </row>
    <row r="127" spans="1:17" hidden="1" outlineLevel="1" x14ac:dyDescent="0.25">
      <c r="B127" s="139" t="s">
        <v>1120</v>
      </c>
      <c r="C127" s="167" t="s">
        <v>11</v>
      </c>
      <c r="D127" s="9"/>
      <c r="E127" s="9"/>
      <c r="F127" s="9"/>
      <c r="G127" s="150">
        <f>-(G16-F16)</f>
        <v>-20518497996.323517</v>
      </c>
      <c r="H127" s="143">
        <f t="shared" ref="H127:Q127" si="100">-(H16-G16)</f>
        <v>-19464143124.2677</v>
      </c>
      <c r="I127" s="143">
        <f t="shared" si="100"/>
        <v>10633658397.464417</v>
      </c>
      <c r="J127" s="143">
        <f t="shared" si="100"/>
        <v>19906430555.364258</v>
      </c>
      <c r="K127" s="143">
        <f t="shared" si="100"/>
        <v>19119972619.087982</v>
      </c>
      <c r="L127" s="143">
        <f t="shared" si="100"/>
        <v>20759889119.547119</v>
      </c>
      <c r="M127" s="143">
        <f t="shared" si="100"/>
        <v>-7013085600.6333008</v>
      </c>
      <c r="N127" s="143">
        <f t="shared" si="100"/>
        <v>-7259595559.4956055</v>
      </c>
      <c r="O127" s="143">
        <f t="shared" si="100"/>
        <v>-7514770343.4118347</v>
      </c>
      <c r="P127" s="143">
        <f t="shared" si="100"/>
        <v>-7778914520.9826965</v>
      </c>
      <c r="Q127" s="144">
        <f t="shared" si="100"/>
        <v>-1145425798.9183044</v>
      </c>
    </row>
    <row r="128" spans="1:17" hidden="1" outlineLevel="1" x14ac:dyDescent="0.25">
      <c r="B128" s="139" t="s">
        <v>1055</v>
      </c>
      <c r="C128" s="167" t="s">
        <v>11</v>
      </c>
      <c r="D128" s="9"/>
      <c r="E128" s="9"/>
      <c r="F128" s="9"/>
      <c r="G128" s="150">
        <f>-(G31-F31)</f>
        <v>-2537662775.1243858</v>
      </c>
      <c r="H128" s="143">
        <f t="shared" ref="H128:Q128" si="101">-(H31-G31)</f>
        <v>-1727446275.6166611</v>
      </c>
      <c r="I128" s="143">
        <f t="shared" si="101"/>
        <v>-1780109355.3337479</v>
      </c>
      <c r="J128" s="143">
        <f t="shared" si="101"/>
        <v>-892980153.73315048</v>
      </c>
      <c r="K128" s="143">
        <f t="shared" si="101"/>
        <v>-992840558.66520691</v>
      </c>
      <c r="L128" s="143">
        <f t="shared" si="101"/>
        <v>-941413065.22389221</v>
      </c>
      <c r="M128" s="143">
        <f t="shared" si="101"/>
        <v>-1003006419.2892532</v>
      </c>
      <c r="N128" s="143">
        <f t="shared" si="101"/>
        <v>-1038262094.9272575</v>
      </c>
      <c r="O128" s="143">
        <f t="shared" si="101"/>
        <v>-1074757007.5639572</v>
      </c>
      <c r="P128" s="143">
        <f t="shared" si="101"/>
        <v>-1112534716.3798332</v>
      </c>
      <c r="Q128" s="144">
        <f t="shared" si="101"/>
        <v>-163817967.51928711</v>
      </c>
    </row>
    <row r="129" spans="2:17" hidden="1" outlineLevel="1" x14ac:dyDescent="0.25">
      <c r="B129" s="140" t="s">
        <v>1056</v>
      </c>
      <c r="C129" s="165" t="s">
        <v>11</v>
      </c>
      <c r="D129" s="9"/>
      <c r="E129" s="9"/>
      <c r="F129" s="9"/>
      <c r="G129" s="151">
        <f>-(G32-F32)</f>
        <v>-343936076.7111454</v>
      </c>
      <c r="H129" s="146">
        <f t="shared" ref="H129:Q129" si="102">-(H32-G32)</f>
        <v>-293665866.85483217</v>
      </c>
      <c r="I129" s="146">
        <f t="shared" si="102"/>
        <v>-302618590.40673685</v>
      </c>
      <c r="J129" s="146">
        <f t="shared" si="102"/>
        <v>-151806626.13463688</v>
      </c>
      <c r="K129" s="146">
        <f t="shared" si="102"/>
        <v>-168782894.97308445</v>
      </c>
      <c r="L129" s="146">
        <f t="shared" si="102"/>
        <v>-160040221.08806229</v>
      </c>
      <c r="M129" s="146">
        <f t="shared" si="102"/>
        <v>-170511091.27917194</v>
      </c>
      <c r="N129" s="146">
        <f t="shared" si="102"/>
        <v>-176504556.13763428</v>
      </c>
      <c r="O129" s="146">
        <f t="shared" si="102"/>
        <v>-182708691.28587246</v>
      </c>
      <c r="P129" s="146">
        <f t="shared" si="102"/>
        <v>-189130901.78457165</v>
      </c>
      <c r="Q129" s="147">
        <f t="shared" si="102"/>
        <v>-27849054.478279114</v>
      </c>
    </row>
    <row r="130" spans="2:17" hidden="1" outlineLevel="1" x14ac:dyDescent="0.25">
      <c r="B130" s="10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</row>
    <row r="131" spans="2:17" s="16" customFormat="1" hidden="1" outlineLevel="1" x14ac:dyDescent="0.25">
      <c r="B131" s="172" t="s">
        <v>1173</v>
      </c>
      <c r="C131" s="178" t="s">
        <v>11</v>
      </c>
      <c r="D131" s="12"/>
      <c r="E131" s="12"/>
      <c r="F131" s="12"/>
      <c r="G131" s="177">
        <f>SUM(G132:G138)</f>
        <v>84378776448.557922</v>
      </c>
      <c r="H131" s="175">
        <f t="shared" ref="H131:M131" si="103">SUM(H132:H138)</f>
        <v>55111760272.070786</v>
      </c>
      <c r="I131" s="175">
        <f t="shared" si="103"/>
        <v>2390350827.6209798</v>
      </c>
      <c r="J131" s="175">
        <f t="shared" si="103"/>
        <v>74494277893.271713</v>
      </c>
      <c r="K131" s="175">
        <f t="shared" si="103"/>
        <v>-4305682261.655158</v>
      </c>
      <c r="L131" s="175">
        <f t="shared" si="103"/>
        <v>-8582401062.6571198</v>
      </c>
      <c r="M131" s="175">
        <f t="shared" si="103"/>
        <v>-8116654220.0770912</v>
      </c>
      <c r="N131" s="175">
        <f>SUM(N132:N138)</f>
        <v>27506243261.763832</v>
      </c>
      <c r="O131" s="175">
        <f>SUM(O132:O138)</f>
        <v>35629457852.002701</v>
      </c>
      <c r="P131" s="175">
        <f>SUM(P132:P138)</f>
        <v>38993404637.541718</v>
      </c>
      <c r="Q131" s="176">
        <f>SUM(Q132:Q138)</f>
        <v>6321678389.9950066</v>
      </c>
    </row>
    <row r="132" spans="2:17" hidden="1" outlineLevel="1" x14ac:dyDescent="0.25">
      <c r="B132" s="139" t="s">
        <v>1058</v>
      </c>
      <c r="C132" s="167" t="s">
        <v>11</v>
      </c>
      <c r="D132" s="9"/>
      <c r="E132" s="9"/>
      <c r="F132" s="9"/>
      <c r="G132" s="150">
        <f>(G38-F38)</f>
        <v>64236843058.61145</v>
      </c>
      <c r="H132" s="143">
        <f t="shared" ref="H132:Q132" si="104">(H38-G38)</f>
        <v>38134062790.523804</v>
      </c>
      <c r="I132" s="143">
        <f t="shared" si="104"/>
        <v>-12572673763.705811</v>
      </c>
      <c r="J132" s="143">
        <f t="shared" si="104"/>
        <v>66286869555.110352</v>
      </c>
      <c r="K132" s="143">
        <f t="shared" si="104"/>
        <v>-13329822493.484131</v>
      </c>
      <c r="L132" s="143">
        <f>(L38-K38)</f>
        <v>-17186152786.435059</v>
      </c>
      <c r="M132" s="143">
        <f t="shared" si="104"/>
        <v>-17269758877.95105</v>
      </c>
      <c r="N132" s="143">
        <f t="shared" si="104"/>
        <v>18028724731.956055</v>
      </c>
      <c r="O132" s="143">
        <f t="shared" si="104"/>
        <v>25816014979.370972</v>
      </c>
      <c r="P132" s="143">
        <f t="shared" si="104"/>
        <v>28832118064.205566</v>
      </c>
      <c r="Q132" s="144">
        <f t="shared" si="104"/>
        <v>4268754136.0909424</v>
      </c>
    </row>
    <row r="133" spans="2:17" hidden="1" outlineLevel="1" x14ac:dyDescent="0.25">
      <c r="B133" s="139" t="s">
        <v>1059</v>
      </c>
      <c r="C133" s="167" t="s">
        <v>11</v>
      </c>
      <c r="D133" s="9"/>
      <c r="E133" s="9"/>
      <c r="F133" s="9"/>
      <c r="G133" s="150">
        <f>(G39-F39)</f>
        <v>18037375185.853088</v>
      </c>
      <c r="H133" s="143">
        <f t="shared" ref="H133:Q133" si="105">(H39-G39)</f>
        <v>14567463250.370331</v>
      </c>
      <c r="I133" s="143">
        <f t="shared" si="105"/>
        <v>15011568221.540039</v>
      </c>
      <c r="J133" s="143">
        <f t="shared" si="105"/>
        <v>7530454496.0010376</v>
      </c>
      <c r="K133" s="143">
        <f t="shared" si="105"/>
        <v>8372572019.1612854</v>
      </c>
      <c r="L133" s="143">
        <f t="shared" si="105"/>
        <v>7938886681.8286438</v>
      </c>
      <c r="M133" s="143">
        <f t="shared" si="105"/>
        <v>8458300185.1480408</v>
      </c>
      <c r="N133" s="143">
        <f t="shared" si="105"/>
        <v>8755609436.6559448</v>
      </c>
      <c r="O133" s="143">
        <f t="shared" si="105"/>
        <v>9063369108.3544006</v>
      </c>
      <c r="P133" s="143">
        <f t="shared" si="105"/>
        <v>9381946532.5131226</v>
      </c>
      <c r="Q133" s="144">
        <f t="shared" si="105"/>
        <v>1381468272.1381226</v>
      </c>
    </row>
    <row r="134" spans="2:17" hidden="1" outlineLevel="1" x14ac:dyDescent="0.25">
      <c r="B134" s="139" t="s">
        <v>1060</v>
      </c>
      <c r="C134" s="167" t="s">
        <v>11</v>
      </c>
      <c r="D134" s="9"/>
      <c r="E134" s="9"/>
      <c r="F134" s="9"/>
      <c r="G134" s="150">
        <f>(G40-F40)</f>
        <v>0</v>
      </c>
      <c r="H134" s="143">
        <f t="shared" ref="H134:Q134" si="106">(H40-G40)</f>
        <v>0</v>
      </c>
      <c r="I134" s="143">
        <f t="shared" si="106"/>
        <v>0</v>
      </c>
      <c r="J134" s="143">
        <f t="shared" si="106"/>
        <v>0</v>
      </c>
      <c r="K134" s="143">
        <f t="shared" si="106"/>
        <v>0</v>
      </c>
      <c r="L134" s="143">
        <f t="shared" si="106"/>
        <v>0</v>
      </c>
      <c r="M134" s="143">
        <f t="shared" si="106"/>
        <v>0</v>
      </c>
      <c r="N134" s="143">
        <f t="shared" si="106"/>
        <v>0</v>
      </c>
      <c r="O134" s="143">
        <f t="shared" si="106"/>
        <v>0</v>
      </c>
      <c r="P134" s="143">
        <f t="shared" si="106"/>
        <v>0</v>
      </c>
      <c r="Q134" s="144">
        <f t="shared" si="106"/>
        <v>0</v>
      </c>
    </row>
    <row r="135" spans="2:17" hidden="1" outlineLevel="1" x14ac:dyDescent="0.25">
      <c r="B135" s="139" t="s">
        <v>1062</v>
      </c>
      <c r="C135" s="167" t="s">
        <v>11</v>
      </c>
      <c r="D135" s="9"/>
      <c r="E135" s="9"/>
      <c r="F135" s="9"/>
      <c r="G135" s="150">
        <f>(G45-F45)</f>
        <v>-46387889.256539345</v>
      </c>
      <c r="H135" s="143">
        <f t="shared" ref="H135:Q135" si="107">(H45-G45)</f>
        <v>449161943.31209469</v>
      </c>
      <c r="I135" s="143">
        <f t="shared" si="107"/>
        <v>330957490.6593771</v>
      </c>
      <c r="J135" s="143">
        <f t="shared" si="107"/>
        <v>138511560.72217178</v>
      </c>
      <c r="K135" s="143">
        <f t="shared" si="107"/>
        <v>128661849.73748398</v>
      </c>
      <c r="L135" s="143">
        <f t="shared" si="107"/>
        <v>133808323.72698355</v>
      </c>
      <c r="M135" s="143">
        <f t="shared" si="107"/>
        <v>139160656.67606306</v>
      </c>
      <c r="N135" s="143">
        <f t="shared" si="107"/>
        <v>144727082.94310474</v>
      </c>
      <c r="O135" s="143">
        <f t="shared" si="107"/>
        <v>150516166.26082993</v>
      </c>
      <c r="P135" s="143">
        <f t="shared" si="107"/>
        <v>156536812.91126347</v>
      </c>
      <c r="Q135" s="144">
        <f t="shared" si="107"/>
        <v>162798285.42771292</v>
      </c>
    </row>
    <row r="136" spans="2:17" hidden="1" outlineLevel="1" x14ac:dyDescent="0.25">
      <c r="B136" s="139" t="s">
        <v>1063</v>
      </c>
      <c r="C136" s="167" t="s">
        <v>11</v>
      </c>
      <c r="D136" s="9"/>
      <c r="E136" s="9"/>
      <c r="F136" s="9"/>
      <c r="G136" s="150">
        <f>(G46-F46)</f>
        <v>2074878572.3525314</v>
      </c>
      <c r="H136" s="143">
        <f t="shared" ref="H136:Q136" si="108">(H46-G46)</f>
        <v>1719229809.2782211</v>
      </c>
      <c r="I136" s="143">
        <f t="shared" si="108"/>
        <v>-628716430.61935043</v>
      </c>
      <c r="J136" s="143">
        <f t="shared" si="108"/>
        <v>413425059.91550827</v>
      </c>
      <c r="K136" s="143">
        <f t="shared" si="108"/>
        <v>383908684.71707535</v>
      </c>
      <c r="L136" s="143">
        <f t="shared" si="108"/>
        <v>399258889.09096718</v>
      </c>
      <c r="M136" s="143">
        <f t="shared" si="108"/>
        <v>415222917.34935951</v>
      </c>
      <c r="N136" s="143">
        <f t="shared" si="108"/>
        <v>431825316.91891479</v>
      </c>
      <c r="O136" s="143">
        <f t="shared" si="108"/>
        <v>449091616.95754433</v>
      </c>
      <c r="P136" s="143">
        <f t="shared" si="108"/>
        <v>467048367.61858368</v>
      </c>
      <c r="Q136" s="144">
        <f t="shared" si="108"/>
        <v>485723180.88552856</v>
      </c>
    </row>
    <row r="137" spans="2:17" hidden="1" outlineLevel="1" x14ac:dyDescent="0.25">
      <c r="B137" s="139" t="s">
        <v>1055</v>
      </c>
      <c r="C137" s="167" t="s">
        <v>11</v>
      </c>
      <c r="D137" s="9"/>
      <c r="E137" s="9"/>
      <c r="F137" s="9"/>
      <c r="G137" s="150">
        <f>(G47-F47)</f>
        <v>-59121176.287561417</v>
      </c>
      <c r="H137" s="143">
        <f t="shared" ref="H137:Q137" si="109">(H47-G47)</f>
        <v>172744627.56166601</v>
      </c>
      <c r="I137" s="143">
        <f t="shared" si="109"/>
        <v>178010935.53337479</v>
      </c>
      <c r="J137" s="143">
        <f t="shared" si="109"/>
        <v>89298015.373315334</v>
      </c>
      <c r="K137" s="143">
        <f t="shared" si="109"/>
        <v>99284055.866520405</v>
      </c>
      <c r="L137" s="143">
        <f t="shared" si="109"/>
        <v>94141306.522389412</v>
      </c>
      <c r="M137" s="143">
        <f t="shared" si="109"/>
        <v>100300641.92892504</v>
      </c>
      <c r="N137" s="143">
        <f t="shared" si="109"/>
        <v>103826209.49272585</v>
      </c>
      <c r="O137" s="143">
        <f t="shared" si="109"/>
        <v>107475700.75639582</v>
      </c>
      <c r="P137" s="143">
        <f t="shared" si="109"/>
        <v>111253471.63798332</v>
      </c>
      <c r="Q137" s="144">
        <f t="shared" si="109"/>
        <v>16381796.751928806</v>
      </c>
    </row>
    <row r="138" spans="2:17" hidden="1" outlineLevel="1" x14ac:dyDescent="0.25">
      <c r="B138" s="140" t="s">
        <v>1064</v>
      </c>
      <c r="C138" s="165" t="s">
        <v>11</v>
      </c>
      <c r="D138" s="9"/>
      <c r="E138" s="9"/>
      <c r="F138" s="9"/>
      <c r="G138" s="151">
        <f>(G48-F48)</f>
        <v>135188697.28497553</v>
      </c>
      <c r="H138" s="146">
        <f t="shared" ref="H138:Q138" si="110">(H48-G48)</f>
        <v>69097851.024666309</v>
      </c>
      <c r="I138" s="146">
        <f t="shared" si="110"/>
        <v>71204374.213349938</v>
      </c>
      <c r="J138" s="146">
        <f t="shared" si="110"/>
        <v>35719206.149326205</v>
      </c>
      <c r="K138" s="146">
        <f t="shared" si="110"/>
        <v>39713622.346608162</v>
      </c>
      <c r="L138" s="146">
        <f t="shared" si="110"/>
        <v>37656522.608955622</v>
      </c>
      <c r="M138" s="146">
        <f t="shared" si="110"/>
        <v>40120256.771570206</v>
      </c>
      <c r="N138" s="146">
        <f t="shared" si="110"/>
        <v>41530483.797090292</v>
      </c>
      <c r="O138" s="146">
        <f t="shared" si="110"/>
        <v>42990280.302558184</v>
      </c>
      <c r="P138" s="146">
        <f t="shared" si="110"/>
        <v>44501388.655193567</v>
      </c>
      <c r="Q138" s="147">
        <f t="shared" si="110"/>
        <v>6552718.7007713318</v>
      </c>
    </row>
    <row r="139" spans="2:17" hidden="1" outlineLevel="1" x14ac:dyDescent="0.25"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</row>
    <row r="140" spans="2:17" hidden="1" outlineLevel="1" x14ac:dyDescent="0.25">
      <c r="B140" s="160" t="s">
        <v>1147</v>
      </c>
      <c r="C140" s="164" t="s">
        <v>11</v>
      </c>
      <c r="D140" s="9"/>
      <c r="E140" s="9"/>
      <c r="F140" s="9"/>
      <c r="G140" s="161">
        <f>-(G27-F27)</f>
        <v>-639367023.08518219</v>
      </c>
      <c r="H140" s="162">
        <f t="shared" ref="H140:Q140" si="111">-(H27-G27)</f>
        <v>-689117475.82294226</v>
      </c>
      <c r="I140" s="162">
        <f t="shared" si="111"/>
        <v>-740384625.25655413</v>
      </c>
      <c r="J140" s="162">
        <f t="shared" si="111"/>
        <v>-766102453.68406916</v>
      </c>
      <c r="K140" s="162">
        <f t="shared" si="111"/>
        <v>-794696261.7736268</v>
      </c>
      <c r="L140" s="162">
        <f t="shared" si="111"/>
        <v>-821808958.05207539</v>
      </c>
      <c r="M140" s="162">
        <f t="shared" si="111"/>
        <v>-850695542.92760563</v>
      </c>
      <c r="N140" s="162">
        <f t="shared" si="111"/>
        <v>-880597491.2615099</v>
      </c>
      <c r="O140" s="162">
        <f t="shared" si="111"/>
        <v>-911550493.07935238</v>
      </c>
      <c r="P140" s="162">
        <f t="shared" si="111"/>
        <v>-943591492.9110918</v>
      </c>
      <c r="Q140" s="163">
        <f t="shared" si="111"/>
        <v>-948309450.37564659</v>
      </c>
    </row>
    <row r="141" spans="2:17" hidden="1" outlineLevel="1" x14ac:dyDescent="0.25"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</row>
    <row r="142" spans="2:17" hidden="1" outlineLevel="1" x14ac:dyDescent="0.25">
      <c r="B142" s="160" t="s">
        <v>1161</v>
      </c>
      <c r="C142" s="164" t="s">
        <v>11</v>
      </c>
      <c r="D142" s="9"/>
      <c r="E142" s="9"/>
      <c r="F142" s="9"/>
      <c r="G142" s="161">
        <f>-G117</f>
        <v>0</v>
      </c>
      <c r="H142" s="162">
        <f t="shared" ref="H142:M142" si="112">-H117</f>
        <v>0</v>
      </c>
      <c r="I142" s="162">
        <f t="shared" si="112"/>
        <v>0</v>
      </c>
      <c r="J142" s="162">
        <f t="shared" si="112"/>
        <v>0</v>
      </c>
      <c r="K142" s="162">
        <f t="shared" si="112"/>
        <v>0</v>
      </c>
      <c r="L142" s="162">
        <f t="shared" si="112"/>
        <v>0</v>
      </c>
      <c r="M142" s="162">
        <f t="shared" si="112"/>
        <v>0</v>
      </c>
      <c r="N142" s="162">
        <f>-N117</f>
        <v>0</v>
      </c>
      <c r="O142" s="162">
        <f>-O117</f>
        <v>0</v>
      </c>
      <c r="P142" s="162">
        <f>-P117</f>
        <v>0</v>
      </c>
      <c r="Q142" s="163">
        <f>-Q117</f>
        <v>0</v>
      </c>
    </row>
    <row r="143" spans="2:17" hidden="1" outlineLevel="1" x14ac:dyDescent="0.25"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</row>
    <row r="144" spans="2:17" s="16" customFormat="1" hidden="1" outlineLevel="1" x14ac:dyDescent="0.25">
      <c r="B144" s="166" t="s">
        <v>1174</v>
      </c>
      <c r="C144" s="136" t="s">
        <v>11</v>
      </c>
      <c r="D144" s="12"/>
      <c r="E144" s="12"/>
      <c r="F144" s="9"/>
      <c r="G144" s="153">
        <f>+G124+G126+G131+G140+G142</f>
        <v>-11027838046.036842</v>
      </c>
      <c r="H144" s="134">
        <f t="shared" ref="H144:M144" si="113">+H124+H126+H131+H140+H142</f>
        <v>-28356973603.574879</v>
      </c>
      <c r="I144" s="134">
        <f t="shared" si="113"/>
        <v>68163037271.218132</v>
      </c>
      <c r="J144" s="134">
        <f t="shared" si="113"/>
        <v>69100235986.71344</v>
      </c>
      <c r="K144" s="134">
        <f t="shared" si="113"/>
        <v>9263221801.8816319</v>
      </c>
      <c r="L144" s="134">
        <f t="shared" si="113"/>
        <v>30975240662.563892</v>
      </c>
      <c r="M144" s="134">
        <f t="shared" si="113"/>
        <v>31338009556.63245</v>
      </c>
      <c r="N144" s="134">
        <f>+N124+N126+N131+N140+N142</f>
        <v>86033781310.106567</v>
      </c>
      <c r="O144" s="134">
        <f>+O124+O126+O131+O140+O142</f>
        <v>100110266906.71951</v>
      </c>
      <c r="P144" s="134">
        <f>+P124+P126+P131+P140+P142</f>
        <v>105558117651.30974</v>
      </c>
      <c r="Q144" s="135">
        <f>+Q124+Q126+Q131+Q140+Q142</f>
        <v>77267172197.214493</v>
      </c>
    </row>
    <row r="145" spans="2:17" hidden="1" outlineLevel="1" x14ac:dyDescent="0.25">
      <c r="B145" s="108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</row>
    <row r="146" spans="2:17" hidden="1" outlineLevel="1" x14ac:dyDescent="0.25">
      <c r="B146" s="160" t="s">
        <v>1175</v>
      </c>
      <c r="C146" s="164" t="s">
        <v>11</v>
      </c>
      <c r="D146" s="9"/>
      <c r="E146" s="9"/>
      <c r="F146" s="9"/>
      <c r="G146" s="161">
        <f>(G43-F43+G44-F44)</f>
        <v>0</v>
      </c>
      <c r="H146" s="162">
        <f t="shared" ref="H146:Q146" si="114">(H43-G43+H44-G44)</f>
        <v>0</v>
      </c>
      <c r="I146" s="162">
        <f t="shared" si="114"/>
        <v>0</v>
      </c>
      <c r="J146" s="162">
        <f t="shared" si="114"/>
        <v>0</v>
      </c>
      <c r="K146" s="162">
        <f t="shared" si="114"/>
        <v>0</v>
      </c>
      <c r="L146" s="162">
        <f t="shared" si="114"/>
        <v>0</v>
      </c>
      <c r="M146" s="162">
        <f t="shared" si="114"/>
        <v>0</v>
      </c>
      <c r="N146" s="162">
        <f t="shared" si="114"/>
        <v>0</v>
      </c>
      <c r="O146" s="162">
        <f t="shared" si="114"/>
        <v>0</v>
      </c>
      <c r="P146" s="162">
        <f t="shared" si="114"/>
        <v>0</v>
      </c>
      <c r="Q146" s="163">
        <f t="shared" si="114"/>
        <v>0</v>
      </c>
    </row>
    <row r="147" spans="2:17" hidden="1" outlineLevel="1" x14ac:dyDescent="0.25">
      <c r="B147" s="108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</row>
    <row r="148" spans="2:17" hidden="1" outlineLevel="1" x14ac:dyDescent="0.25">
      <c r="B148" s="160" t="s">
        <v>424</v>
      </c>
      <c r="C148" s="164" t="s">
        <v>11</v>
      </c>
      <c r="D148" s="9"/>
      <c r="E148" s="9"/>
      <c r="F148" s="9"/>
      <c r="G148" s="161">
        <f>+G104</f>
        <v>43317115814.021103</v>
      </c>
      <c r="H148" s="162">
        <f t="shared" ref="H148:M148" si="115">+H104</f>
        <v>200775620721.79825</v>
      </c>
      <c r="I148" s="162">
        <f t="shared" si="115"/>
        <v>9176048846.6502666</v>
      </c>
      <c r="J148" s="162">
        <f t="shared" si="115"/>
        <v>30131912110.893547</v>
      </c>
      <c r="K148" s="162">
        <f t="shared" si="115"/>
        <v>32163866526.932423</v>
      </c>
      <c r="L148" s="162">
        <f t="shared" si="115"/>
        <v>33784659594.311604</v>
      </c>
      <c r="M148" s="162">
        <f t="shared" si="115"/>
        <v>27074592466.726555</v>
      </c>
      <c r="N148" s="162">
        <f>+N104</f>
        <v>28221518404.896915</v>
      </c>
      <c r="O148" s="162">
        <f>+O104</f>
        <v>29156832790.186886</v>
      </c>
      <c r="P148" s="162">
        <f>+P104</f>
        <v>30134162575.952377</v>
      </c>
      <c r="Q148" s="163">
        <f>+Q104</f>
        <v>30387563595.244377</v>
      </c>
    </row>
    <row r="149" spans="2:17" hidden="1" outlineLevel="1" x14ac:dyDescent="0.25">
      <c r="B149" s="108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</row>
    <row r="150" spans="2:17" hidden="1" outlineLevel="1" x14ac:dyDescent="0.25">
      <c r="B150" s="160" t="s">
        <v>608</v>
      </c>
      <c r="C150" s="164" t="s">
        <v>11</v>
      </c>
      <c r="D150" s="9"/>
      <c r="E150" s="9"/>
      <c r="F150" s="9"/>
      <c r="G150" s="161">
        <f>-G108</f>
        <v>-10195000000</v>
      </c>
      <c r="H150" s="162">
        <f t="shared" ref="H150:M150" si="116">-H108</f>
        <v>-15167625000</v>
      </c>
      <c r="I150" s="162">
        <f t="shared" si="116"/>
        <v>-42652785700</v>
      </c>
      <c r="J150" s="162">
        <f t="shared" si="116"/>
        <v>-13105057128</v>
      </c>
      <c r="K150" s="162">
        <f t="shared" si="116"/>
        <v>-13458608841.84</v>
      </c>
      <c r="L150" s="162">
        <f t="shared" si="116"/>
        <v>-13822767107.0952</v>
      </c>
      <c r="M150" s="162">
        <f t="shared" si="116"/>
        <v>-14197850120.308056</v>
      </c>
      <c r="N150" s="162">
        <f>-N108</f>
        <v>-14584185623.917297</v>
      </c>
      <c r="O150" s="162">
        <f>-O108</f>
        <v>-14982111192.634815</v>
      </c>
      <c r="P150" s="162">
        <f>-P108</f>
        <v>-15391974528.41386</v>
      </c>
      <c r="Q150" s="163">
        <f>-Q108</f>
        <v>-15814133764.266277</v>
      </c>
    </row>
    <row r="151" spans="2:17" hidden="1" outlineLevel="1" x14ac:dyDescent="0.25">
      <c r="B151" s="108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</row>
    <row r="152" spans="2:17" hidden="1" outlineLevel="1" x14ac:dyDescent="0.25">
      <c r="B152" s="160" t="s">
        <v>1328</v>
      </c>
      <c r="C152" s="164" t="s">
        <v>11</v>
      </c>
      <c r="D152" s="9"/>
      <c r="E152" s="9"/>
      <c r="F152" s="9"/>
      <c r="G152" s="161">
        <f>(G53-F53)</f>
        <v>0</v>
      </c>
      <c r="H152" s="162">
        <f t="shared" ref="H152:Q152" si="117">(H51-G51)</f>
        <v>0</v>
      </c>
      <c r="I152" s="162">
        <f t="shared" si="117"/>
        <v>0</v>
      </c>
      <c r="J152" s="162">
        <f t="shared" si="117"/>
        <v>0</v>
      </c>
      <c r="K152" s="162">
        <f t="shared" si="117"/>
        <v>30000000000</v>
      </c>
      <c r="L152" s="162">
        <f t="shared" si="117"/>
        <v>124000000000</v>
      </c>
      <c r="M152" s="162">
        <f t="shared" si="117"/>
        <v>30000000000</v>
      </c>
      <c r="N152" s="162">
        <f t="shared" si="117"/>
        <v>0</v>
      </c>
      <c r="O152" s="162">
        <f t="shared" si="117"/>
        <v>0</v>
      </c>
      <c r="P152" s="162">
        <f t="shared" si="117"/>
        <v>0</v>
      </c>
      <c r="Q152" s="163">
        <f t="shared" si="117"/>
        <v>0</v>
      </c>
    </row>
    <row r="153" spans="2:17" hidden="1" outlineLevel="1" x14ac:dyDescent="0.25">
      <c r="B153" s="108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</row>
    <row r="154" spans="2:17" hidden="1" outlineLevel="1" x14ac:dyDescent="0.25">
      <c r="B154" s="160" t="s">
        <v>1329</v>
      </c>
      <c r="C154" s="164" t="s">
        <v>11</v>
      </c>
      <c r="D154" s="9"/>
      <c r="E154" s="9"/>
      <c r="F154" s="9"/>
      <c r="G154" s="161">
        <f>(G54-F54)</f>
        <v>0</v>
      </c>
      <c r="H154" s="162">
        <f t="shared" ref="H154:Q154" si="118">(H54-G54)</f>
        <v>0</v>
      </c>
      <c r="I154" s="162">
        <f t="shared" si="118"/>
        <v>0</v>
      </c>
      <c r="J154" s="162">
        <f t="shared" si="118"/>
        <v>0</v>
      </c>
      <c r="K154" s="162">
        <f t="shared" si="118"/>
        <v>0</v>
      </c>
      <c r="L154" s="162">
        <v>0</v>
      </c>
      <c r="M154" s="162">
        <f t="shared" si="118"/>
        <v>0</v>
      </c>
      <c r="N154" s="162">
        <f t="shared" si="118"/>
        <v>0</v>
      </c>
      <c r="O154" s="162">
        <f t="shared" si="118"/>
        <v>0</v>
      </c>
      <c r="P154" s="162">
        <f t="shared" si="118"/>
        <v>0</v>
      </c>
      <c r="Q154" s="163">
        <f t="shared" si="118"/>
        <v>0</v>
      </c>
    </row>
    <row r="155" spans="2:17" hidden="1" outlineLevel="1" x14ac:dyDescent="0.25">
      <c r="B155" s="108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</row>
    <row r="156" spans="2:17" s="16" customFormat="1" hidden="1" outlineLevel="1" x14ac:dyDescent="0.25">
      <c r="B156" s="166" t="s">
        <v>1176</v>
      </c>
      <c r="C156" s="136" t="s">
        <v>11</v>
      </c>
      <c r="D156" s="12"/>
      <c r="E156" s="12"/>
      <c r="F156" s="9"/>
      <c r="G156" s="153">
        <f>+G144+G146+G148+G150+G152+G154</f>
        <v>22094277767.984261</v>
      </c>
      <c r="H156" s="134">
        <f t="shared" ref="H156:M156" si="119">+H144+H146+H148+H150+H152</f>
        <v>157251022118.22336</v>
      </c>
      <c r="I156" s="134">
        <f t="shared" si="119"/>
        <v>34686300417.868393</v>
      </c>
      <c r="J156" s="134">
        <f t="shared" si="119"/>
        <v>86127090969.606995</v>
      </c>
      <c r="K156" s="134">
        <f t="shared" si="119"/>
        <v>57968479486.97406</v>
      </c>
      <c r="L156" s="134">
        <f t="shared" si="119"/>
        <v>174937133149.7803</v>
      </c>
      <c r="M156" s="134">
        <f t="shared" si="119"/>
        <v>74214751903.050949</v>
      </c>
      <c r="N156" s="134">
        <f>+N144+N146+N148+N150+N152</f>
        <v>99671114091.086182</v>
      </c>
      <c r="O156" s="134">
        <f>+O144+O146+O148+O150+O152</f>
        <v>114284988504.27159</v>
      </c>
      <c r="P156" s="134">
        <f>+P144+P146+P148+P150+P152</f>
        <v>120300305698.84825</v>
      </c>
      <c r="Q156" s="135">
        <f>+Q144+Q146+Q148+Q150+Q152</f>
        <v>91840602028.192581</v>
      </c>
    </row>
    <row r="157" spans="2:17" hidden="1" outlineLevel="1" x14ac:dyDescent="0.25">
      <c r="B157" s="108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</row>
    <row r="158" spans="2:17" hidden="1" outlineLevel="1" x14ac:dyDescent="0.25">
      <c r="B158" s="160" t="s">
        <v>1177</v>
      </c>
      <c r="C158" s="164" t="s">
        <v>11</v>
      </c>
      <c r="D158" s="9"/>
      <c r="E158" s="9"/>
      <c r="F158" s="9"/>
      <c r="G158" s="161">
        <f t="shared" ref="G158:Q158" si="120">+F13+F14</f>
        <v>39587220947</v>
      </c>
      <c r="H158" s="162">
        <f t="shared" si="120"/>
        <v>61681498714.984261</v>
      </c>
      <c r="I158" s="162">
        <f t="shared" si="120"/>
        <v>218932520833.20761</v>
      </c>
      <c r="J158" s="162">
        <f t="shared" si="120"/>
        <v>253618821251.07599</v>
      </c>
      <c r="K158" s="162">
        <f t="shared" si="120"/>
        <v>339745912220.68298</v>
      </c>
      <c r="L158" s="162">
        <f t="shared" si="120"/>
        <v>397714391707.65704</v>
      </c>
      <c r="M158" s="162">
        <f t="shared" si="120"/>
        <v>572651524857.43738</v>
      </c>
      <c r="N158" s="162">
        <f t="shared" si="120"/>
        <v>646866276760.48828</v>
      </c>
      <c r="O158" s="162">
        <f t="shared" si="120"/>
        <v>746537390851.57446</v>
      </c>
      <c r="P158" s="162">
        <f t="shared" si="120"/>
        <v>860822379355.84607</v>
      </c>
      <c r="Q158" s="163">
        <f t="shared" si="120"/>
        <v>981122685054.69434</v>
      </c>
    </row>
    <row r="159" spans="2:17" hidden="1" outlineLevel="1" x14ac:dyDescent="0.25">
      <c r="B159" s="108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</row>
    <row r="160" spans="2:17" s="16" customFormat="1" hidden="1" outlineLevel="1" x14ac:dyDescent="0.25">
      <c r="B160" s="166" t="s">
        <v>1178</v>
      </c>
      <c r="C160" s="136" t="s">
        <v>11</v>
      </c>
      <c r="D160" s="12"/>
      <c r="E160" s="12"/>
      <c r="F160" s="9"/>
      <c r="G160" s="153">
        <f>+G156+G158</f>
        <v>61681498714.984261</v>
      </c>
      <c r="H160" s="134">
        <f t="shared" ref="H160:M160" si="121">+H156+H158</f>
        <v>218932520833.20761</v>
      </c>
      <c r="I160" s="134">
        <f t="shared" si="121"/>
        <v>253618821251.07599</v>
      </c>
      <c r="J160" s="134">
        <f t="shared" si="121"/>
        <v>339745912220.68298</v>
      </c>
      <c r="K160" s="134">
        <f t="shared" si="121"/>
        <v>397714391707.65704</v>
      </c>
      <c r="L160" s="134">
        <f t="shared" si="121"/>
        <v>572651524857.43738</v>
      </c>
      <c r="M160" s="134">
        <f t="shared" si="121"/>
        <v>646866276760.48828</v>
      </c>
      <c r="N160" s="134">
        <f>+N156+N158</f>
        <v>746537390851.57446</v>
      </c>
      <c r="O160" s="134">
        <f>+O156+O158</f>
        <v>860822379355.84607</v>
      </c>
      <c r="P160" s="134">
        <f>+P156+P158</f>
        <v>981122685054.69434</v>
      </c>
      <c r="Q160" s="135">
        <f>+Q156+Q158</f>
        <v>1072963287082.887</v>
      </c>
    </row>
    <row r="161" spans="2:17" collapsed="1" x14ac:dyDescent="0.25">
      <c r="B161" s="108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</row>
    <row r="162" spans="2:17" s="260" customFormat="1" x14ac:dyDescent="0.25">
      <c r="B162" s="168" t="s">
        <v>1310</v>
      </c>
      <c r="C162" s="169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1"/>
    </row>
    <row r="163" spans="2:17" hidden="1" outlineLevel="1" x14ac:dyDescent="0.25"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</row>
    <row r="164" spans="2:17" hidden="1" outlineLevel="1" x14ac:dyDescent="0.25">
      <c r="B164" s="198" t="s">
        <v>1311</v>
      </c>
      <c r="C164" s="198" t="s">
        <v>11</v>
      </c>
      <c r="D164" s="9"/>
      <c r="E164" s="9"/>
      <c r="F164" s="9"/>
      <c r="G164" s="201">
        <f>+G156-G154</f>
        <v>22094277767.984261</v>
      </c>
      <c r="H164" s="202">
        <f t="shared" ref="H164:P164" si="122">+H156-H154</f>
        <v>157251022118.22336</v>
      </c>
      <c r="I164" s="202">
        <f t="shared" si="122"/>
        <v>34686300417.868393</v>
      </c>
      <c r="J164" s="202">
        <f t="shared" si="122"/>
        <v>86127090969.606995</v>
      </c>
      <c r="K164" s="202">
        <f t="shared" si="122"/>
        <v>57968479486.97406</v>
      </c>
      <c r="L164" s="202">
        <f t="shared" si="122"/>
        <v>174937133149.7803</v>
      </c>
      <c r="M164" s="202">
        <f t="shared" si="122"/>
        <v>74214751903.050949</v>
      </c>
      <c r="N164" s="202">
        <f t="shared" si="122"/>
        <v>99671114091.086182</v>
      </c>
      <c r="O164" s="202">
        <f t="shared" si="122"/>
        <v>114284988504.27159</v>
      </c>
      <c r="P164" s="202">
        <f t="shared" si="122"/>
        <v>120300305698.84825</v>
      </c>
      <c r="Q164" s="203">
        <f>(Q156-Q152-Q146)/(TdD!C361)</f>
        <v>534868529740.0108</v>
      </c>
    </row>
    <row r="165" spans="2:17" hidden="1" outlineLevel="1" x14ac:dyDescent="0.25">
      <c r="B165" s="167" t="s">
        <v>1312</v>
      </c>
      <c r="C165" s="167" t="s">
        <v>11</v>
      </c>
      <c r="D165" s="9"/>
      <c r="E165" s="9"/>
      <c r="F165" s="9"/>
      <c r="G165" s="204">
        <v>0</v>
      </c>
      <c r="H165" s="205">
        <f>+G165+1</f>
        <v>1</v>
      </c>
      <c r="I165" s="205">
        <f t="shared" ref="I165:Q165" si="123">+H165+1</f>
        <v>2</v>
      </c>
      <c r="J165" s="205">
        <f t="shared" si="123"/>
        <v>3</v>
      </c>
      <c r="K165" s="205">
        <f t="shared" si="123"/>
        <v>4</v>
      </c>
      <c r="L165" s="205">
        <f t="shared" si="123"/>
        <v>5</v>
      </c>
      <c r="M165" s="205">
        <f t="shared" si="123"/>
        <v>6</v>
      </c>
      <c r="N165" s="205">
        <f t="shared" si="123"/>
        <v>7</v>
      </c>
      <c r="O165" s="205">
        <f t="shared" si="123"/>
        <v>8</v>
      </c>
      <c r="P165" s="205">
        <f t="shared" si="123"/>
        <v>9</v>
      </c>
      <c r="Q165" s="206">
        <f t="shared" si="123"/>
        <v>10</v>
      </c>
    </row>
    <row r="166" spans="2:17" hidden="1" outlineLevel="1" x14ac:dyDescent="0.25">
      <c r="B166" s="167" t="s">
        <v>1313</v>
      </c>
      <c r="C166" s="167" t="s">
        <v>11</v>
      </c>
      <c r="D166" s="9"/>
      <c r="E166" s="9"/>
      <c r="F166" s="9"/>
      <c r="G166" s="151">
        <f>+G164/(1+TdD!$C$361)^G165</f>
        <v>22094277767.984261</v>
      </c>
      <c r="H166" s="146">
        <f>+H164/(1+TdD!$C$361)^H165</f>
        <v>134206793450.07011</v>
      </c>
      <c r="I166" s="146">
        <f>+I164/(1+TdD!$C$361)^I165</f>
        <v>25265042161.35981</v>
      </c>
      <c r="J166" s="146">
        <f>+J164/(1+TdD!$C$361)^J165</f>
        <v>53540552427.477188</v>
      </c>
      <c r="K166" s="146">
        <f>+K164/(1+TdD!$C$361)^K165</f>
        <v>30755019109.104534</v>
      </c>
      <c r="L166" s="146">
        <f>+L164/(1+TdD!$C$361)^L165</f>
        <v>79211296252.905563</v>
      </c>
      <c r="M166" s="146">
        <f>+M164/(1+TdD!$C$361)^M165</f>
        <v>28679817160.780857</v>
      </c>
      <c r="N166" s="146">
        <f>+N164/(1+TdD!$C$361)^N165</f>
        <v>32872783090.99929</v>
      </c>
      <c r="O166" s="146">
        <f>+O164/(1+TdD!$C$361)^O165</f>
        <v>32168986125.115639</v>
      </c>
      <c r="P166" s="146">
        <f>+P164/(1+TdD!$C$361)^P165</f>
        <v>28899873278.376518</v>
      </c>
      <c r="Q166" s="147">
        <f>+Q164/(1+TdD!$C$361)^Q165-Q44</f>
        <v>109662281352.4084</v>
      </c>
    </row>
    <row r="167" spans="2:17" s="16" customFormat="1" hidden="1" outlineLevel="1" x14ac:dyDescent="0.25">
      <c r="B167" s="136" t="s">
        <v>1324</v>
      </c>
      <c r="C167" s="136" t="s">
        <v>11</v>
      </c>
      <c r="D167" s="12"/>
      <c r="E167" s="12"/>
      <c r="F167" s="12"/>
      <c r="G167" s="207">
        <f>SUM(G166:P166)</f>
        <v>467694440824.17377</v>
      </c>
      <c r="H167" s="12"/>
      <c r="I167" s="12"/>
      <c r="J167" s="12"/>
      <c r="K167" s="12"/>
      <c r="L167" s="12"/>
      <c r="M167" s="12"/>
      <c r="N167" s="12"/>
      <c r="O167" s="12"/>
      <c r="P167" s="12"/>
      <c r="Q167" s="12"/>
    </row>
    <row r="168" spans="2:17" s="16" customFormat="1" hidden="1" outlineLevel="1" x14ac:dyDescent="0.25">
      <c r="B168" s="136" t="s">
        <v>1325</v>
      </c>
      <c r="C168" s="136" t="s">
        <v>11</v>
      </c>
      <c r="D168" s="12"/>
      <c r="E168" s="12"/>
      <c r="F168" s="12"/>
      <c r="G168" s="207">
        <f>+Q166</f>
        <v>109662281352.4084</v>
      </c>
      <c r="H168" s="12"/>
      <c r="I168" s="12"/>
      <c r="J168" s="12"/>
      <c r="K168" s="12"/>
      <c r="L168" s="12"/>
      <c r="M168" s="12"/>
      <c r="N168" s="12"/>
      <c r="O168" s="12"/>
      <c r="P168" s="12"/>
      <c r="Q168" s="12"/>
    </row>
    <row r="169" spans="2:17" hidden="1" outlineLevel="1" x14ac:dyDescent="0.25"/>
    <row r="170" spans="2:17" s="16" customFormat="1" hidden="1" outlineLevel="1" x14ac:dyDescent="0.25">
      <c r="B170" s="136" t="s">
        <v>1314</v>
      </c>
      <c r="C170" s="136" t="s">
        <v>11</v>
      </c>
      <c r="D170" s="12"/>
      <c r="E170" s="12"/>
      <c r="F170" s="12"/>
      <c r="G170" s="207">
        <f>SUM(G166:Q166)</f>
        <v>577356722176.58215</v>
      </c>
      <c r="H170" s="12"/>
      <c r="I170" s="12"/>
      <c r="J170" s="12"/>
      <c r="K170" s="12"/>
      <c r="L170" s="12"/>
      <c r="M170" s="12"/>
      <c r="N170" s="12"/>
      <c r="O170" s="12"/>
      <c r="P170" s="12"/>
      <c r="Q170" s="12"/>
    </row>
    <row r="171" spans="2:17" hidden="1" outlineLevel="1" x14ac:dyDescent="0.25">
      <c r="B171" s="164" t="s">
        <v>1336</v>
      </c>
      <c r="C171" s="164" t="s">
        <v>1336</v>
      </c>
      <c r="D171" s="9"/>
      <c r="E171" s="9"/>
      <c r="F171" s="9"/>
      <c r="G171" s="275">
        <v>81852</v>
      </c>
      <c r="H171" s="9"/>
      <c r="I171" s="9"/>
      <c r="J171" s="9"/>
      <c r="K171" s="9"/>
      <c r="L171" s="9"/>
      <c r="M171" s="9"/>
      <c r="N171" s="9"/>
      <c r="O171" s="9"/>
      <c r="P171" s="9"/>
      <c r="Q171" s="9"/>
    </row>
    <row r="172" spans="2:17" hidden="1" outlineLevel="1" x14ac:dyDescent="0.25">
      <c r="B172" s="136" t="s">
        <v>1337</v>
      </c>
      <c r="C172" s="136" t="s">
        <v>5</v>
      </c>
      <c r="D172" s="12"/>
      <c r="E172" s="12"/>
      <c r="F172" s="12"/>
      <c r="G172" s="224">
        <f>+G170/G171</f>
        <v>7053666.6443896564</v>
      </c>
    </row>
    <row r="173" spans="2:17" hidden="1" outlineLevel="1" x14ac:dyDescent="0.25"/>
    <row r="174" spans="2:17" hidden="1" outlineLevel="1" x14ac:dyDescent="0.25">
      <c r="B174" s="198" t="s">
        <v>1315</v>
      </c>
      <c r="C174" s="198" t="s">
        <v>11</v>
      </c>
      <c r="D174" s="9"/>
      <c r="E174" s="9"/>
      <c r="F174" s="9"/>
      <c r="G174" s="299">
        <v>-238784473206.29163</v>
      </c>
      <c r="H174" s="9"/>
      <c r="I174" s="9"/>
      <c r="J174" s="9"/>
      <c r="K174" s="9"/>
      <c r="L174" s="9"/>
      <c r="M174" s="9"/>
      <c r="N174" s="9"/>
      <c r="O174" s="9"/>
      <c r="P174" s="9"/>
      <c r="Q174" s="9"/>
    </row>
    <row r="175" spans="2:17" hidden="1" outlineLevel="1" x14ac:dyDescent="0.25">
      <c r="B175" s="198" t="s">
        <v>1315</v>
      </c>
      <c r="C175" s="198" t="s">
        <v>11</v>
      </c>
      <c r="D175" s="9"/>
      <c r="E175" s="9"/>
      <c r="F175" s="9"/>
      <c r="G175" s="199">
        <f>+G176-G177</f>
        <v>-240786549016.30286</v>
      </c>
      <c r="H175" s="9"/>
      <c r="I175" s="9"/>
      <c r="J175" s="9"/>
      <c r="K175" s="9"/>
      <c r="L175" s="9"/>
      <c r="M175" s="9"/>
      <c r="N175" s="9"/>
      <c r="O175" s="9"/>
      <c r="P175" s="9"/>
      <c r="Q175" s="9"/>
    </row>
    <row r="176" spans="2:17" hidden="1" outlineLevel="1" x14ac:dyDescent="0.25">
      <c r="B176" s="198" t="s">
        <v>1513</v>
      </c>
      <c r="C176" s="198" t="s">
        <v>11</v>
      </c>
      <c r="D176" s="9"/>
      <c r="E176" s="9"/>
      <c r="F176" s="9"/>
      <c r="G176" s="199">
        <f>G71/360*180</f>
        <v>802997258356.35852</v>
      </c>
      <c r="H176" s="9"/>
      <c r="I176" s="9"/>
      <c r="J176" s="9"/>
      <c r="K176" s="9"/>
      <c r="L176" s="9"/>
      <c r="M176" s="9"/>
      <c r="N176" s="9"/>
      <c r="O176" s="9"/>
      <c r="P176" s="9"/>
      <c r="Q176" s="9"/>
    </row>
    <row r="177" spans="2:17" hidden="1" outlineLevel="1" x14ac:dyDescent="0.25">
      <c r="B177" s="198" t="s">
        <v>1514</v>
      </c>
      <c r="C177" s="198" t="s">
        <v>11</v>
      </c>
      <c r="D177" s="9"/>
      <c r="E177" s="9"/>
      <c r="F177" s="9"/>
      <c r="G177" s="199">
        <f>+G37</f>
        <v>1043783807372.6614</v>
      </c>
      <c r="H177" s="9"/>
      <c r="I177" s="9"/>
      <c r="J177" s="9"/>
      <c r="K177" s="9"/>
      <c r="L177" s="9"/>
      <c r="M177" s="9"/>
      <c r="N177" s="9"/>
      <c r="O177" s="9"/>
      <c r="P177" s="9"/>
      <c r="Q177" s="9"/>
    </row>
    <row r="178" spans="2:17" hidden="1" outlineLevel="1" x14ac:dyDescent="0.25">
      <c r="B178" s="301" t="s">
        <v>846</v>
      </c>
      <c r="C178" s="301"/>
      <c r="D178" s="112"/>
      <c r="E178" s="112"/>
      <c r="F178" s="112"/>
      <c r="G178" s="302">
        <f>+G174-G175</f>
        <v>2002075810.0112305</v>
      </c>
      <c r="H178" s="9"/>
      <c r="I178" s="9"/>
      <c r="J178" s="9"/>
      <c r="K178" s="9"/>
      <c r="L178" s="9"/>
      <c r="M178" s="9"/>
      <c r="N178" s="9"/>
      <c r="O178" s="9"/>
      <c r="P178" s="9"/>
      <c r="Q178" s="9"/>
    </row>
    <row r="179" spans="2:17" hidden="1" outlineLevel="1" x14ac:dyDescent="0.25">
      <c r="D179" s="9"/>
      <c r="E179" s="9"/>
      <c r="F179" s="9"/>
      <c r="G179" s="300"/>
      <c r="H179" s="9"/>
      <c r="I179" s="9"/>
      <c r="J179" s="9"/>
      <c r="K179" s="9"/>
      <c r="L179" s="9"/>
      <c r="M179" s="9"/>
      <c r="N179" s="9"/>
      <c r="O179" s="9"/>
      <c r="P179" s="9"/>
      <c r="Q179" s="9"/>
    </row>
    <row r="180" spans="2:17" s="16" customFormat="1" hidden="1" outlineLevel="1" x14ac:dyDescent="0.25">
      <c r="B180" s="225" t="s">
        <v>1338</v>
      </c>
      <c r="C180" s="225" t="s">
        <v>11</v>
      </c>
      <c r="D180" s="12"/>
      <c r="E180" s="12"/>
      <c r="F180" s="12"/>
      <c r="G180" s="207">
        <f>+G170+G174</f>
        <v>338572248970.29053</v>
      </c>
      <c r="H180" s="12"/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2:17" hidden="1" outlineLevel="1" x14ac:dyDescent="0.25">
      <c r="B181" s="164" t="s">
        <v>1336</v>
      </c>
      <c r="C181" s="164" t="s">
        <v>1336</v>
      </c>
      <c r="D181" s="9"/>
      <c r="E181" s="9"/>
      <c r="F181" s="9"/>
      <c r="G181" s="275">
        <v>81852</v>
      </c>
      <c r="H181" s="9"/>
      <c r="I181" s="9"/>
      <c r="J181" s="9"/>
      <c r="K181" s="9"/>
      <c r="L181" s="9"/>
      <c r="M181" s="9"/>
      <c r="N181" s="9"/>
      <c r="O181" s="9"/>
      <c r="P181" s="9"/>
      <c r="Q181" s="9"/>
    </row>
    <row r="182" spans="2:17" hidden="1" outlineLevel="1" x14ac:dyDescent="0.25">
      <c r="B182" s="136" t="s">
        <v>1337</v>
      </c>
      <c r="C182" s="136" t="s">
        <v>5</v>
      </c>
      <c r="D182" s="12"/>
      <c r="E182" s="12"/>
      <c r="F182" s="12"/>
      <c r="G182" s="224">
        <f>+G180/G181</f>
        <v>4136395.555029694</v>
      </c>
    </row>
    <row r="183" spans="2:17" hidden="1" outlineLevel="1" x14ac:dyDescent="0.25">
      <c r="B183" s="229"/>
      <c r="C183" s="229"/>
      <c r="D183" s="9"/>
      <c r="E183" s="9"/>
      <c r="F183" s="9"/>
      <c r="G183" s="230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2:17" s="16" customFormat="1" hidden="1" outlineLevel="1" x14ac:dyDescent="0.25">
      <c r="B184" s="136" t="s">
        <v>1316</v>
      </c>
      <c r="C184" s="136" t="s">
        <v>11</v>
      </c>
      <c r="D184" s="12"/>
      <c r="E184" s="12"/>
      <c r="F184" s="12"/>
      <c r="G184" s="207">
        <f>+G533</f>
        <v>0</v>
      </c>
      <c r="H184" s="12"/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2:17" hidden="1" outlineLevel="1" x14ac:dyDescent="0.25">
      <c r="B185" s="165" t="s">
        <v>1339</v>
      </c>
      <c r="C185" s="165"/>
      <c r="D185" s="9"/>
      <c r="E185" s="9"/>
      <c r="F185" s="9"/>
      <c r="G185" s="226">
        <f>+G184/$G$182</f>
        <v>0</v>
      </c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2:17" hidden="1" outlineLevel="1" x14ac:dyDescent="0.25">
      <c r="B186" s="227"/>
      <c r="C186" s="227"/>
      <c r="D186" s="9"/>
      <c r="E186" s="9"/>
      <c r="F186" s="9"/>
      <c r="G186" s="228"/>
      <c r="H186" s="9"/>
      <c r="I186" s="9"/>
      <c r="J186" s="9"/>
      <c r="K186" s="9"/>
      <c r="L186" s="9"/>
      <c r="M186" s="9"/>
      <c r="N186" s="9"/>
      <c r="O186" s="9"/>
      <c r="P186" s="9"/>
      <c r="Q186" s="9"/>
    </row>
    <row r="187" spans="2:17" s="16" customFormat="1" hidden="1" outlineLevel="1" x14ac:dyDescent="0.25">
      <c r="B187" s="208" t="s">
        <v>1333</v>
      </c>
      <c r="C187" s="208" t="s">
        <v>11</v>
      </c>
      <c r="D187" s="12"/>
      <c r="E187" s="12"/>
      <c r="F187" s="12"/>
      <c r="G187" s="277">
        <f>+'Panel de control'!D90</f>
        <v>0</v>
      </c>
      <c r="H187" s="12"/>
      <c r="I187" s="12"/>
      <c r="J187" s="12"/>
      <c r="K187" s="12"/>
      <c r="L187" s="12"/>
      <c r="M187" s="12"/>
      <c r="N187" s="12"/>
      <c r="O187" s="12"/>
      <c r="P187" s="12"/>
      <c r="Q187" s="12"/>
    </row>
    <row r="188" spans="2:17" hidden="1" outlineLevel="1" x14ac:dyDescent="0.25">
      <c r="B188" s="165" t="s">
        <v>1339</v>
      </c>
      <c r="C188" s="165"/>
      <c r="D188" s="9"/>
      <c r="E188" s="9"/>
      <c r="F188" s="9"/>
      <c r="G188" s="226">
        <f>+G187/$G$182</f>
        <v>0</v>
      </c>
      <c r="H188" s="9"/>
      <c r="I188" s="9"/>
      <c r="J188" s="9"/>
      <c r="K188" s="9"/>
      <c r="L188" s="9"/>
      <c r="M188" s="9"/>
      <c r="N188" s="9"/>
      <c r="O188" s="9"/>
      <c r="P188" s="9"/>
      <c r="Q188" s="9"/>
    </row>
    <row r="189" spans="2:17" hidden="1" outlineLevel="1" x14ac:dyDescent="0.25">
      <c r="D189" s="9"/>
      <c r="E189" s="9"/>
      <c r="F189" s="9"/>
      <c r="G189" s="8"/>
      <c r="H189" s="9"/>
      <c r="I189" s="9"/>
      <c r="J189" s="9"/>
      <c r="K189" s="9"/>
      <c r="L189" s="9"/>
      <c r="M189" s="9"/>
      <c r="N189" s="9"/>
      <c r="O189" s="9"/>
      <c r="P189" s="9"/>
      <c r="Q189" s="9"/>
    </row>
    <row r="190" spans="2:17" s="16" customFormat="1" hidden="1" outlineLevel="1" x14ac:dyDescent="0.25">
      <c r="B190" s="136" t="s">
        <v>1317</v>
      </c>
      <c r="C190" s="136" t="s">
        <v>11</v>
      </c>
      <c r="D190" s="12"/>
      <c r="E190" s="12"/>
      <c r="F190" s="12"/>
      <c r="G190" s="207">
        <f>+G170+G174+G184+G187</f>
        <v>338572248970.29053</v>
      </c>
      <c r="H190" s="12"/>
      <c r="I190" s="12"/>
      <c r="J190" s="12"/>
      <c r="K190" s="12"/>
      <c r="L190" s="12"/>
      <c r="M190" s="12"/>
      <c r="N190" s="12"/>
      <c r="O190" s="12"/>
      <c r="P190" s="12"/>
      <c r="Q190" s="12"/>
    </row>
    <row r="191" spans="2:17" hidden="1" outlineLevel="1" x14ac:dyDescent="0.25">
      <c r="B191" s="165" t="s">
        <v>1339</v>
      </c>
      <c r="C191" s="165"/>
      <c r="D191" s="9"/>
      <c r="E191" s="9"/>
      <c r="F191" s="9"/>
      <c r="G191" s="226">
        <f>+G190/$G$182</f>
        <v>81852</v>
      </c>
      <c r="H191" s="9"/>
      <c r="I191" s="9"/>
      <c r="J191" s="9"/>
      <c r="K191" s="9"/>
      <c r="L191" s="9"/>
      <c r="M191" s="9"/>
      <c r="N191" s="9"/>
      <c r="O191" s="9"/>
      <c r="P191" s="9"/>
      <c r="Q191" s="9"/>
    </row>
    <row r="192" spans="2:17" collapsed="1" x14ac:dyDescent="0.25"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</row>
    <row r="193" spans="2:17" s="260" customFormat="1" x14ac:dyDescent="0.25">
      <c r="B193" s="168" t="s">
        <v>1318</v>
      </c>
      <c r="C193" s="169"/>
      <c r="D193" s="170"/>
      <c r="E193" s="170"/>
      <c r="F193" s="170"/>
      <c r="G193" s="170"/>
      <c r="H193" s="170"/>
      <c r="I193" s="170"/>
      <c r="J193" s="170"/>
      <c r="K193" s="170"/>
      <c r="L193" s="170"/>
      <c r="M193" s="170"/>
      <c r="N193" s="170"/>
      <c r="O193" s="170"/>
      <c r="P193" s="170"/>
      <c r="Q193" s="171"/>
    </row>
    <row r="194" spans="2:17" hidden="1" outlineLevel="1" x14ac:dyDescent="0.25"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</row>
    <row r="195" spans="2:17" hidden="1" outlineLevel="1" x14ac:dyDescent="0.25">
      <c r="B195" s="211" t="s">
        <v>1179</v>
      </c>
      <c r="C195" s="211" t="s">
        <v>1321</v>
      </c>
      <c r="D195" s="212" t="s">
        <v>1099</v>
      </c>
      <c r="E195" s="212" t="s">
        <v>1100</v>
      </c>
      <c r="F195" s="212" t="s">
        <v>1101</v>
      </c>
      <c r="G195" s="212" t="s">
        <v>1102</v>
      </c>
      <c r="H195" s="212" t="s">
        <v>1103</v>
      </c>
      <c r="I195" s="212" t="s">
        <v>1104</v>
      </c>
      <c r="J195" s="212" t="s">
        <v>1105</v>
      </c>
      <c r="K195" s="212" t="s">
        <v>1106</v>
      </c>
      <c r="L195" s="212" t="s">
        <v>1107</v>
      </c>
      <c r="M195" s="212" t="s">
        <v>1108</v>
      </c>
      <c r="N195" s="212" t="s">
        <v>1346</v>
      </c>
      <c r="O195" s="212" t="s">
        <v>1347</v>
      </c>
      <c r="P195" s="212" t="s">
        <v>1348</v>
      </c>
      <c r="Q195" s="212" t="s">
        <v>1349</v>
      </c>
    </row>
    <row r="196" spans="2:17" hidden="1" outlineLevel="1" x14ac:dyDescent="0.25">
      <c r="B196" s="215" t="str">
        <f>+B62</f>
        <v>INGRESOS OPERACIONALES</v>
      </c>
      <c r="C196" s="198" t="s">
        <v>11</v>
      </c>
      <c r="D196" s="213">
        <f t="shared" ref="D196:Q196" si="124">+D62</f>
        <v>1190425478954</v>
      </c>
      <c r="E196" s="202">
        <f t="shared" si="124"/>
        <v>1349953464576</v>
      </c>
      <c r="F196" s="202">
        <f t="shared" si="124"/>
        <v>1444415524848</v>
      </c>
      <c r="G196" s="202">
        <f t="shared" si="124"/>
        <v>1598417557712.9558</v>
      </c>
      <c r="H196" s="202">
        <f t="shared" si="124"/>
        <v>1722793689557.3555</v>
      </c>
      <c r="I196" s="202">
        <f t="shared" si="124"/>
        <v>1850961563141.3853</v>
      </c>
      <c r="J196" s="202">
        <f t="shared" si="124"/>
        <v>1915256134210.1724</v>
      </c>
      <c r="K196" s="202">
        <f t="shared" si="124"/>
        <v>1986740654434.0669</v>
      </c>
      <c r="L196" s="202">
        <f t="shared" si="124"/>
        <v>2054522395130.1873</v>
      </c>
      <c r="M196" s="202">
        <f t="shared" si="124"/>
        <v>2126738857319.0132</v>
      </c>
      <c r="N196" s="202">
        <f t="shared" si="124"/>
        <v>2201493728153.7759</v>
      </c>
      <c r="O196" s="202">
        <f t="shared" si="124"/>
        <v>2278876232698.3809</v>
      </c>
      <c r="P196" s="202">
        <f t="shared" si="124"/>
        <v>2358978732277.729</v>
      </c>
      <c r="Q196" s="203">
        <f t="shared" si="124"/>
        <v>2370773625939.1177</v>
      </c>
    </row>
    <row r="197" spans="2:17" hidden="1" outlineLevel="1" x14ac:dyDescent="0.25">
      <c r="B197" s="216" t="str">
        <f>+B71</f>
        <v>COSTO MÉDICO</v>
      </c>
      <c r="C197" s="167" t="s">
        <v>11</v>
      </c>
      <c r="D197" s="148">
        <f t="shared" ref="D197:Q197" si="125">+D71</f>
        <v>1258660361437</v>
      </c>
      <c r="E197" s="143">
        <f t="shared" si="125"/>
        <v>1415181059075</v>
      </c>
      <c r="F197" s="143">
        <f t="shared" si="125"/>
        <v>1799539968307</v>
      </c>
      <c r="G197" s="143">
        <f t="shared" si="125"/>
        <v>1605994516712.717</v>
      </c>
      <c r="H197" s="143">
        <f t="shared" si="125"/>
        <v>1707452000000</v>
      </c>
      <c r="I197" s="143">
        <f t="shared" si="125"/>
        <v>1712147197886.7397</v>
      </c>
      <c r="J197" s="143">
        <f t="shared" si="125"/>
        <v>1854255415311.3391</v>
      </c>
      <c r="K197" s="143">
        <f t="shared" si="125"/>
        <v>1902466056109.4341</v>
      </c>
      <c r="L197" s="143">
        <f t="shared" si="125"/>
        <v>1942417843287.7319</v>
      </c>
      <c r="M197" s="143">
        <f t="shared" si="125"/>
        <v>1983208617996.7742</v>
      </c>
      <c r="N197" s="143">
        <f t="shared" si="125"/>
        <v>2034772042064.6904</v>
      </c>
      <c r="O197" s="143">
        <f t="shared" si="125"/>
        <v>2101919519452.825</v>
      </c>
      <c r="P197" s="143">
        <f t="shared" si="125"/>
        <v>2175486702633.6736</v>
      </c>
      <c r="Q197" s="144">
        <f t="shared" si="125"/>
        <v>2186364136146.8418</v>
      </c>
    </row>
    <row r="198" spans="2:17" s="16" customFormat="1" hidden="1" outlineLevel="1" x14ac:dyDescent="0.25">
      <c r="B198" s="217" t="str">
        <f>+B75</f>
        <v>RESULTADO BRUTO</v>
      </c>
      <c r="C198" s="136" t="s">
        <v>11</v>
      </c>
      <c r="D198" s="137">
        <f t="shared" ref="D198:Q198" si="126">+D75</f>
        <v>-68234882483</v>
      </c>
      <c r="E198" s="134">
        <f t="shared" si="126"/>
        <v>-65227594499</v>
      </c>
      <c r="F198" s="134">
        <f t="shared" si="126"/>
        <v>-355124443459</v>
      </c>
      <c r="G198" s="134">
        <f t="shared" si="126"/>
        <v>-7576958999.7612305</v>
      </c>
      <c r="H198" s="134">
        <f t="shared" si="126"/>
        <v>15341689557.355469</v>
      </c>
      <c r="I198" s="134">
        <f t="shared" si="126"/>
        <v>138814365254.64551</v>
      </c>
      <c r="J198" s="134">
        <f t="shared" si="126"/>
        <v>61000718898.833252</v>
      </c>
      <c r="K198" s="134">
        <f t="shared" si="126"/>
        <v>84274598324.632813</v>
      </c>
      <c r="L198" s="134">
        <f t="shared" si="126"/>
        <v>112104551842.45532</v>
      </c>
      <c r="M198" s="134">
        <f t="shared" si="126"/>
        <v>143530239322.23901</v>
      </c>
      <c r="N198" s="134">
        <f t="shared" si="126"/>
        <v>166721686089.08545</v>
      </c>
      <c r="O198" s="134">
        <f t="shared" si="126"/>
        <v>176956713245.55591</v>
      </c>
      <c r="P198" s="134">
        <f t="shared" si="126"/>
        <v>183492029644.05542</v>
      </c>
      <c r="Q198" s="135">
        <f t="shared" si="126"/>
        <v>184409489792.27588</v>
      </c>
    </row>
    <row r="199" spans="2:17" s="6" customFormat="1" hidden="1" outlineLevel="1" x14ac:dyDescent="0.25">
      <c r="B199" s="218" t="str">
        <f>+B76</f>
        <v>MARGEN BRUTO</v>
      </c>
      <c r="C199" s="220" t="s">
        <v>11</v>
      </c>
      <c r="D199" s="219">
        <f t="shared" ref="D199:Q199" si="127">+D76</f>
        <v>-5.7319742973710924E-2</v>
      </c>
      <c r="E199" s="209">
        <f t="shared" si="127"/>
        <v>-4.8318402234322204E-2</v>
      </c>
      <c r="F199" s="209">
        <f t="shared" si="127"/>
        <v>-0.24586030636604433</v>
      </c>
      <c r="G199" s="209">
        <f t="shared" si="127"/>
        <v>-4.7402876446142632E-3</v>
      </c>
      <c r="H199" s="209">
        <f t="shared" si="127"/>
        <v>8.9051229119008861E-3</v>
      </c>
      <c r="I199" s="209">
        <f t="shared" si="127"/>
        <v>7.4995811916836769E-2</v>
      </c>
      <c r="J199" s="209">
        <f t="shared" si="127"/>
        <v>3.1849901331337693E-2</v>
      </c>
      <c r="K199" s="209">
        <f t="shared" si="127"/>
        <v>4.2418520070320327E-2</v>
      </c>
      <c r="L199" s="209">
        <f t="shared" si="127"/>
        <v>5.4564774814903724E-2</v>
      </c>
      <c r="M199" s="209">
        <f t="shared" si="127"/>
        <v>6.748841722070878E-2</v>
      </c>
      <c r="N199" s="209">
        <f t="shared" si="127"/>
        <v>7.5731165597688138E-2</v>
      </c>
      <c r="O199" s="209">
        <f t="shared" si="127"/>
        <v>7.76508661183518E-2</v>
      </c>
      <c r="P199" s="209">
        <f t="shared" si="127"/>
        <v>7.7784520535665605E-2</v>
      </c>
      <c r="Q199" s="210">
        <f t="shared" si="127"/>
        <v>7.7784520535665674E-2</v>
      </c>
    </row>
    <row r="200" spans="2:17" hidden="1" outlineLevel="1" x14ac:dyDescent="0.25">
      <c r="B200" s="216" t="str">
        <f>+B80</f>
        <v>GASTOS OPERACIONALES</v>
      </c>
      <c r="C200" s="167" t="s">
        <v>11</v>
      </c>
      <c r="D200" s="148">
        <f t="shared" ref="D200:Q200" si="128">+D80</f>
        <v>65530159990</v>
      </c>
      <c r="E200" s="143">
        <f t="shared" si="128"/>
        <v>71672195100</v>
      </c>
      <c r="F200" s="143">
        <f t="shared" si="128"/>
        <v>55702955352</v>
      </c>
      <c r="G200" s="143">
        <f t="shared" si="128"/>
        <v>64068065028.206337</v>
      </c>
      <c r="H200" s="143">
        <f t="shared" si="128"/>
        <v>77051747590.220627</v>
      </c>
      <c r="I200" s="143">
        <f t="shared" si="128"/>
        <v>81415998462.348679</v>
      </c>
      <c r="J200" s="143">
        <f t="shared" si="128"/>
        <v>85207296442.773682</v>
      </c>
      <c r="K200" s="143">
        <f t="shared" si="128"/>
        <v>88745280732.696564</v>
      </c>
      <c r="L200" s="143">
        <f t="shared" si="128"/>
        <v>92207252723.335251</v>
      </c>
      <c r="M200" s="143">
        <f t="shared" si="128"/>
        <v>95833014459.738922</v>
      </c>
      <c r="N200" s="143">
        <f t="shared" si="128"/>
        <v>99661968480.460495</v>
      </c>
      <c r="O200" s="143">
        <f t="shared" si="128"/>
        <v>103643987404.91692</v>
      </c>
      <c r="P200" s="143">
        <f t="shared" si="128"/>
        <v>107784793793.87553</v>
      </c>
      <c r="Q200" s="144">
        <f t="shared" si="128"/>
        <v>112085542607.87593</v>
      </c>
    </row>
    <row r="201" spans="2:17" s="16" customFormat="1" hidden="1" outlineLevel="1" x14ac:dyDescent="0.25">
      <c r="B201" s="217" t="str">
        <f>+B101</f>
        <v>RESULTADO OPERACIONAL</v>
      </c>
      <c r="C201" s="136" t="s">
        <v>11</v>
      </c>
      <c r="D201" s="137">
        <f t="shared" ref="D201:Q201" si="129">+D101</f>
        <v>-133765042473</v>
      </c>
      <c r="E201" s="134">
        <f t="shared" si="129"/>
        <v>-136899789599</v>
      </c>
      <c r="F201" s="134">
        <f t="shared" si="129"/>
        <v>-410827398811</v>
      </c>
      <c r="G201" s="134">
        <f t="shared" si="129"/>
        <v>-71645024027.96756</v>
      </c>
      <c r="H201" s="134">
        <f t="shared" si="129"/>
        <v>-61710058032.865158</v>
      </c>
      <c r="I201" s="134">
        <f t="shared" si="129"/>
        <v>57398366792.296829</v>
      </c>
      <c r="J201" s="134">
        <f t="shared" si="129"/>
        <v>-24206577543.94043</v>
      </c>
      <c r="K201" s="134">
        <f t="shared" si="129"/>
        <v>-4470682408.0637512</v>
      </c>
      <c r="L201" s="134">
        <f t="shared" si="129"/>
        <v>19897299119.120071</v>
      </c>
      <c r="M201" s="134">
        <f t="shared" si="129"/>
        <v>47697224862.500092</v>
      </c>
      <c r="N201" s="134">
        <f t="shared" si="129"/>
        <v>67059717608.624954</v>
      </c>
      <c r="O201" s="134">
        <f t="shared" si="129"/>
        <v>73312725840.638992</v>
      </c>
      <c r="P201" s="134">
        <f t="shared" si="129"/>
        <v>75707235850.179886</v>
      </c>
      <c r="Q201" s="135">
        <f t="shared" si="129"/>
        <v>72323947184.399948</v>
      </c>
    </row>
    <row r="202" spans="2:17" s="6" customFormat="1" hidden="1" outlineLevel="1" x14ac:dyDescent="0.25">
      <c r="B202" s="218" t="str">
        <f>+B102</f>
        <v>MARGEN OPERACIONAL</v>
      </c>
      <c r="C202" s="220" t="s">
        <v>11</v>
      </c>
      <c r="D202" s="219">
        <f t="shared" ref="D202:Q202" si="130">+D102</f>
        <v>-0.11236742226866341</v>
      </c>
      <c r="E202" s="209">
        <f t="shared" si="130"/>
        <v>-0.10141074725268263</v>
      </c>
      <c r="F202" s="209">
        <f t="shared" si="130"/>
        <v>-0.28442466294748014</v>
      </c>
      <c r="G202" s="209">
        <f t="shared" si="130"/>
        <v>-4.4822470625559524E-2</v>
      </c>
      <c r="H202" s="209">
        <f t="shared" si="130"/>
        <v>-3.5819760895874062E-2</v>
      </c>
      <c r="I202" s="209">
        <f t="shared" si="130"/>
        <v>3.1010026321066544E-2</v>
      </c>
      <c r="J202" s="209">
        <f t="shared" si="130"/>
        <v>-1.2638820005097083E-2</v>
      </c>
      <c r="K202" s="209">
        <f t="shared" si="130"/>
        <v>-2.2502596894496264E-3</v>
      </c>
      <c r="L202" s="209">
        <f t="shared" si="130"/>
        <v>9.6846348164821329E-3</v>
      </c>
      <c r="M202" s="209">
        <f t="shared" si="130"/>
        <v>2.2427400852884992E-2</v>
      </c>
      <c r="N202" s="209">
        <f t="shared" si="130"/>
        <v>3.0461007792587626E-2</v>
      </c>
      <c r="O202" s="209">
        <f t="shared" si="130"/>
        <v>3.2170560554677673E-2</v>
      </c>
      <c r="P202" s="209">
        <f t="shared" si="130"/>
        <v>3.2093225264934973E-2</v>
      </c>
      <c r="Q202" s="210">
        <f t="shared" si="130"/>
        <v>3.0506475351796094E-2</v>
      </c>
    </row>
    <row r="203" spans="2:17" hidden="1" outlineLevel="1" x14ac:dyDescent="0.25">
      <c r="B203" s="216" t="str">
        <f>+B104</f>
        <v>OTROS INGRESOS</v>
      </c>
      <c r="C203" s="167" t="s">
        <v>11</v>
      </c>
      <c r="D203" s="148">
        <f t="shared" ref="D203:Q203" si="131">+D104</f>
        <v>36232032769</v>
      </c>
      <c r="E203" s="143">
        <f t="shared" si="131"/>
        <v>47113459692</v>
      </c>
      <c r="F203" s="143">
        <f t="shared" si="131"/>
        <v>21241116141</v>
      </c>
      <c r="G203" s="143">
        <f t="shared" si="131"/>
        <v>43317115814.021103</v>
      </c>
      <c r="H203" s="143">
        <f t="shared" si="131"/>
        <v>200775620721.79825</v>
      </c>
      <c r="I203" s="143">
        <f t="shared" si="131"/>
        <v>9176048846.6502666</v>
      </c>
      <c r="J203" s="143">
        <f t="shared" si="131"/>
        <v>30131912110.893547</v>
      </c>
      <c r="K203" s="143">
        <f t="shared" si="131"/>
        <v>32163866526.932423</v>
      </c>
      <c r="L203" s="143">
        <f t="shared" si="131"/>
        <v>33784659594.311604</v>
      </c>
      <c r="M203" s="143">
        <f t="shared" si="131"/>
        <v>27074592466.726555</v>
      </c>
      <c r="N203" s="143">
        <f t="shared" si="131"/>
        <v>28221518404.896915</v>
      </c>
      <c r="O203" s="143">
        <f t="shared" si="131"/>
        <v>29156832790.186886</v>
      </c>
      <c r="P203" s="143">
        <f t="shared" si="131"/>
        <v>30134162575.952377</v>
      </c>
      <c r="Q203" s="144">
        <f t="shared" si="131"/>
        <v>30387563595.244377</v>
      </c>
    </row>
    <row r="204" spans="2:17" hidden="1" outlineLevel="1" x14ac:dyDescent="0.25">
      <c r="B204" s="216" t="str">
        <f>+B108</f>
        <v>OTROS GASTOS</v>
      </c>
      <c r="C204" s="167" t="s">
        <v>11</v>
      </c>
      <c r="D204" s="148">
        <f t="shared" ref="D204:Q204" si="132">+D108</f>
        <v>11797174922</v>
      </c>
      <c r="E204" s="143">
        <f t="shared" si="132"/>
        <v>29586405422</v>
      </c>
      <c r="F204" s="143">
        <f t="shared" si="132"/>
        <v>5413823466</v>
      </c>
      <c r="G204" s="143">
        <f t="shared" si="132"/>
        <v>10195000000</v>
      </c>
      <c r="H204" s="143">
        <f t="shared" si="132"/>
        <v>15167625000</v>
      </c>
      <c r="I204" s="143">
        <f t="shared" si="132"/>
        <v>42652785700</v>
      </c>
      <c r="J204" s="143">
        <f t="shared" si="132"/>
        <v>13105057128</v>
      </c>
      <c r="K204" s="143">
        <f t="shared" si="132"/>
        <v>13458608841.84</v>
      </c>
      <c r="L204" s="143">
        <f t="shared" si="132"/>
        <v>13822767107.0952</v>
      </c>
      <c r="M204" s="143">
        <f t="shared" si="132"/>
        <v>14197850120.308056</v>
      </c>
      <c r="N204" s="143">
        <f t="shared" si="132"/>
        <v>14584185623.917297</v>
      </c>
      <c r="O204" s="143">
        <f t="shared" si="132"/>
        <v>14982111192.634815</v>
      </c>
      <c r="P204" s="143">
        <f t="shared" si="132"/>
        <v>15391974528.41386</v>
      </c>
      <c r="Q204" s="144">
        <f t="shared" si="132"/>
        <v>15814133764.266277</v>
      </c>
    </row>
    <row r="205" spans="2:17" s="16" customFormat="1" hidden="1" outlineLevel="1" x14ac:dyDescent="0.25">
      <c r="B205" s="217" t="str">
        <f>+B114</f>
        <v>RESULTADO ANTES DE IMPUESTOS</v>
      </c>
      <c r="C205" s="136" t="s">
        <v>11</v>
      </c>
      <c r="D205" s="137">
        <f t="shared" ref="D205:Q205" si="133">+D114</f>
        <v>-109330184626</v>
      </c>
      <c r="E205" s="134">
        <f t="shared" si="133"/>
        <v>-119372735329</v>
      </c>
      <c r="F205" s="134">
        <f t="shared" si="133"/>
        <v>-395000106136</v>
      </c>
      <c r="G205" s="134">
        <f t="shared" si="133"/>
        <v>-38522908213.946457</v>
      </c>
      <c r="H205" s="134">
        <f t="shared" si="133"/>
        <v>123897937688.93311</v>
      </c>
      <c r="I205" s="134">
        <f t="shared" si="133"/>
        <v>23921629938.947098</v>
      </c>
      <c r="J205" s="134">
        <f t="shared" si="133"/>
        <v>-7179722561.0468826</v>
      </c>
      <c r="K205" s="134">
        <f t="shared" si="133"/>
        <v>14234575277.028671</v>
      </c>
      <c r="L205" s="134">
        <f t="shared" si="133"/>
        <v>39859191606.336472</v>
      </c>
      <c r="M205" s="134">
        <f t="shared" si="133"/>
        <v>60573967208.918594</v>
      </c>
      <c r="N205" s="134">
        <f t="shared" si="133"/>
        <v>80697050389.604568</v>
      </c>
      <c r="O205" s="134">
        <f t="shared" si="133"/>
        <v>87487447438.191071</v>
      </c>
      <c r="P205" s="134">
        <f t="shared" si="133"/>
        <v>90449423897.718399</v>
      </c>
      <c r="Q205" s="135">
        <f t="shared" si="133"/>
        <v>86897377015.378036</v>
      </c>
    </row>
    <row r="206" spans="2:17" hidden="1" outlineLevel="1" x14ac:dyDescent="0.25">
      <c r="B206" s="216" t="str">
        <f>+B117</f>
        <v>IMPUESTO DE RENTA</v>
      </c>
      <c r="C206" s="164" t="s">
        <v>11</v>
      </c>
      <c r="D206" s="148">
        <f t="shared" ref="D206:Q206" si="134">+D117</f>
        <v>0</v>
      </c>
      <c r="E206" s="143">
        <f t="shared" si="134"/>
        <v>0</v>
      </c>
      <c r="F206" s="143">
        <f t="shared" si="134"/>
        <v>0</v>
      </c>
      <c r="G206" s="143">
        <f t="shared" si="134"/>
        <v>0</v>
      </c>
      <c r="H206" s="143">
        <f t="shared" si="134"/>
        <v>0</v>
      </c>
      <c r="I206" s="143">
        <f t="shared" si="134"/>
        <v>0</v>
      </c>
      <c r="J206" s="143">
        <f t="shared" si="134"/>
        <v>0</v>
      </c>
      <c r="K206" s="143">
        <f t="shared" si="134"/>
        <v>0</v>
      </c>
      <c r="L206" s="143">
        <f t="shared" si="134"/>
        <v>0</v>
      </c>
      <c r="M206" s="143">
        <f t="shared" si="134"/>
        <v>0</v>
      </c>
      <c r="N206" s="143">
        <f t="shared" si="134"/>
        <v>0</v>
      </c>
      <c r="O206" s="143">
        <f t="shared" si="134"/>
        <v>0</v>
      </c>
      <c r="P206" s="143">
        <f t="shared" si="134"/>
        <v>0</v>
      </c>
      <c r="Q206" s="144">
        <f t="shared" si="134"/>
        <v>0</v>
      </c>
    </row>
    <row r="207" spans="2:17" s="16" customFormat="1" hidden="1" outlineLevel="1" x14ac:dyDescent="0.25">
      <c r="B207" s="217" t="str">
        <f>+B119</f>
        <v>RESULTADO FINAL</v>
      </c>
      <c r="C207" s="208" t="s">
        <v>11</v>
      </c>
      <c r="D207" s="137">
        <f t="shared" ref="D207:Q207" si="135">+D119</f>
        <v>-109330184626</v>
      </c>
      <c r="E207" s="134">
        <f t="shared" si="135"/>
        <v>-119372735329</v>
      </c>
      <c r="F207" s="134">
        <f t="shared" si="135"/>
        <v>-395000106136</v>
      </c>
      <c r="G207" s="134">
        <f t="shared" si="135"/>
        <v>-38522908213.946457</v>
      </c>
      <c r="H207" s="134">
        <f t="shared" si="135"/>
        <v>123897937688.93311</v>
      </c>
      <c r="I207" s="134">
        <f t="shared" si="135"/>
        <v>23921629938.947098</v>
      </c>
      <c r="J207" s="134">
        <f t="shared" si="135"/>
        <v>-7179722561.0468826</v>
      </c>
      <c r="K207" s="134">
        <f t="shared" si="135"/>
        <v>14234575277.028671</v>
      </c>
      <c r="L207" s="134">
        <f t="shared" si="135"/>
        <v>39859191606.336472</v>
      </c>
      <c r="M207" s="134">
        <f t="shared" si="135"/>
        <v>60573967208.918594</v>
      </c>
      <c r="N207" s="134">
        <f t="shared" si="135"/>
        <v>80697050389.604568</v>
      </c>
      <c r="O207" s="134">
        <f t="shared" si="135"/>
        <v>87487447438.191071</v>
      </c>
      <c r="P207" s="134">
        <f t="shared" si="135"/>
        <v>90449423897.718399</v>
      </c>
      <c r="Q207" s="135">
        <f t="shared" si="135"/>
        <v>86897377015.378036</v>
      </c>
    </row>
    <row r="208" spans="2:17" hidden="1" outlineLevel="1" x14ac:dyDescent="0.25"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</row>
    <row r="209" spans="2:17" hidden="1" outlineLevel="1" x14ac:dyDescent="0.25">
      <c r="B209" s="211" t="s">
        <v>1350</v>
      </c>
      <c r="C209" s="211" t="s">
        <v>1321</v>
      </c>
      <c r="D209" s="212" t="s">
        <v>1099</v>
      </c>
      <c r="E209" s="212" t="s">
        <v>1100</v>
      </c>
      <c r="F209" s="212" t="s">
        <v>1101</v>
      </c>
      <c r="G209" s="212" t="s">
        <v>1102</v>
      </c>
      <c r="H209" s="212" t="s">
        <v>1103</v>
      </c>
      <c r="I209" s="212" t="s">
        <v>1104</v>
      </c>
      <c r="J209" s="212" t="s">
        <v>1105</v>
      </c>
      <c r="K209" s="212" t="s">
        <v>1106</v>
      </c>
      <c r="L209" s="212" t="s">
        <v>1107</v>
      </c>
      <c r="M209" s="212" t="s">
        <v>1108</v>
      </c>
      <c r="N209" s="212" t="s">
        <v>1346</v>
      </c>
      <c r="O209" s="212" t="s">
        <v>1347</v>
      </c>
      <c r="P209" s="212" t="s">
        <v>1348</v>
      </c>
      <c r="Q209" s="212" t="s">
        <v>1349</v>
      </c>
    </row>
    <row r="210" spans="2:17" hidden="1" outlineLevel="1" x14ac:dyDescent="0.25">
      <c r="B210" s="215" t="str">
        <f>+B196</f>
        <v>INGRESOS OPERACIONALES</v>
      </c>
      <c r="C210" s="198" t="s">
        <v>12</v>
      </c>
      <c r="D210" s="213"/>
      <c r="E210" s="232">
        <f>+E196/D196-1</f>
        <v>0.1340092164040152</v>
      </c>
      <c r="F210" s="232">
        <f t="shared" ref="F210:Q210" si="136">+F196/E196-1</f>
        <v>6.9974308560087461E-2</v>
      </c>
      <c r="G210" s="232">
        <f t="shared" si="136"/>
        <v>0.10661892662858352</v>
      </c>
      <c r="H210" s="232">
        <f t="shared" si="136"/>
        <v>7.7812040567396767E-2</v>
      </c>
      <c r="I210" s="232">
        <f t="shared" si="136"/>
        <v>7.4395369776958375E-2</v>
      </c>
      <c r="J210" s="232">
        <f t="shared" si="136"/>
        <v>3.4735767802583917E-2</v>
      </c>
      <c r="K210" s="232">
        <f t="shared" si="136"/>
        <v>3.7323739079615947E-2</v>
      </c>
      <c r="L210" s="232">
        <f t="shared" si="136"/>
        <v>3.4117055260757478E-2</v>
      </c>
      <c r="M210" s="232">
        <f t="shared" si="136"/>
        <v>3.5150000000000015E-2</v>
      </c>
      <c r="N210" s="232">
        <f t="shared" si="136"/>
        <v>3.5149999999999793E-2</v>
      </c>
      <c r="O210" s="232">
        <f t="shared" si="136"/>
        <v>3.5149999999999793E-2</v>
      </c>
      <c r="P210" s="232">
        <f t="shared" si="136"/>
        <v>3.5150000000000015E-2</v>
      </c>
      <c r="Q210" s="233">
        <f t="shared" si="136"/>
        <v>5.0000000000001155E-3</v>
      </c>
    </row>
    <row r="211" spans="2:17" hidden="1" outlineLevel="1" x14ac:dyDescent="0.25">
      <c r="B211" s="216" t="str">
        <f t="shared" ref="B211:B221" si="137">+B197</f>
        <v>COSTO MÉDICO</v>
      </c>
      <c r="C211" s="167" t="s">
        <v>12</v>
      </c>
      <c r="D211" s="148"/>
      <c r="E211" s="209">
        <f t="shared" ref="E211:Q211" si="138">+E197/D197-1</f>
        <v>0.12435499077710044</v>
      </c>
      <c r="F211" s="209">
        <f t="shared" si="138"/>
        <v>0.2715969852530582</v>
      </c>
      <c r="G211" s="209">
        <f t="shared" si="138"/>
        <v>-0.10755273847925129</v>
      </c>
      <c r="H211" s="209">
        <f t="shared" si="138"/>
        <v>6.3174240155535966E-2</v>
      </c>
      <c r="I211" s="209">
        <f t="shared" si="138"/>
        <v>2.749827161606655E-3</v>
      </c>
      <c r="J211" s="209">
        <f t="shared" si="138"/>
        <v>8.2999999999999963E-2</v>
      </c>
      <c r="K211" s="209">
        <f t="shared" si="138"/>
        <v>2.6000000000000023E-2</v>
      </c>
      <c r="L211" s="209">
        <f t="shared" si="138"/>
        <v>2.0999999999999908E-2</v>
      </c>
      <c r="M211" s="209">
        <f t="shared" si="138"/>
        <v>2.0999999999999908E-2</v>
      </c>
      <c r="N211" s="209">
        <f t="shared" si="138"/>
        <v>2.6000000000000023E-2</v>
      </c>
      <c r="O211" s="209">
        <f t="shared" si="138"/>
        <v>3.2999999999999918E-2</v>
      </c>
      <c r="P211" s="209">
        <f t="shared" si="138"/>
        <v>3.499999999999992E-2</v>
      </c>
      <c r="Q211" s="210">
        <f t="shared" si="138"/>
        <v>4.9999999999998934E-3</v>
      </c>
    </row>
    <row r="212" spans="2:17" s="16" customFormat="1" hidden="1" outlineLevel="1" x14ac:dyDescent="0.25">
      <c r="B212" s="217" t="str">
        <f t="shared" si="137"/>
        <v>RESULTADO BRUTO</v>
      </c>
      <c r="C212" s="136" t="s">
        <v>12</v>
      </c>
      <c r="D212" s="137"/>
      <c r="E212" s="234">
        <f t="shared" ref="E212:Q212" si="139">+E198/D198-1</f>
        <v>-4.40725897747275E-2</v>
      </c>
      <c r="F212" s="234">
        <f t="shared" si="139"/>
        <v>4.4443896971310872</v>
      </c>
      <c r="G212" s="234">
        <f t="shared" si="139"/>
        <v>-0.97866393277252395</v>
      </c>
      <c r="H212" s="234">
        <f t="shared" si="139"/>
        <v>-3.0247819155203195</v>
      </c>
      <c r="I212" s="234">
        <f t="shared" si="139"/>
        <v>8.0481797807003534</v>
      </c>
      <c r="J212" s="234">
        <f t="shared" si="139"/>
        <v>-0.56055903301555587</v>
      </c>
      <c r="K212" s="234">
        <f t="shared" si="139"/>
        <v>0.38153451050959197</v>
      </c>
      <c r="L212" s="234">
        <f t="shared" si="139"/>
        <v>0.33022944126792741</v>
      </c>
      <c r="M212" s="234">
        <f t="shared" si="139"/>
        <v>0.28032481253702679</v>
      </c>
      <c r="N212" s="234">
        <f t="shared" si="139"/>
        <v>0.16157882043782723</v>
      </c>
      <c r="O212" s="234">
        <f t="shared" si="139"/>
        <v>6.1389897118731884E-2</v>
      </c>
      <c r="P212" s="234">
        <f t="shared" si="139"/>
        <v>3.6931723462961807E-2</v>
      </c>
      <c r="Q212" s="235">
        <f t="shared" si="139"/>
        <v>5.0000000000010036E-3</v>
      </c>
    </row>
    <row r="213" spans="2:17" s="6" customFormat="1" hidden="1" outlineLevel="1" x14ac:dyDescent="0.25">
      <c r="B213" s="218" t="str">
        <f t="shared" si="137"/>
        <v>MARGEN BRUTO</v>
      </c>
      <c r="C213" s="220" t="s">
        <v>12</v>
      </c>
      <c r="D213" s="219"/>
      <c r="E213" s="209">
        <f t="shared" ref="E213:Q213" si="140">+E199/D199-1</f>
        <v>-0.15703735349122361</v>
      </c>
      <c r="F213" s="209">
        <f t="shared" si="140"/>
        <v>4.0883368447022326</v>
      </c>
      <c r="G213" s="209">
        <f t="shared" si="140"/>
        <v>-0.98071958945029225</v>
      </c>
      <c r="H213" s="209">
        <f t="shared" si="140"/>
        <v>-2.878603911730663</v>
      </c>
      <c r="I213" s="209">
        <f t="shared" si="140"/>
        <v>7.4216481522800422</v>
      </c>
      <c r="J213" s="209">
        <f t="shared" si="140"/>
        <v>-0.57531093380712761</v>
      </c>
      <c r="K213" s="209">
        <f t="shared" si="140"/>
        <v>0.33182579214410257</v>
      </c>
      <c r="L213" s="209">
        <f t="shared" si="140"/>
        <v>0.28634319925465701</v>
      </c>
      <c r="M213" s="209">
        <f t="shared" si="140"/>
        <v>0.23684955082551018</v>
      </c>
      <c r="N213" s="209">
        <f t="shared" si="140"/>
        <v>0.12213574886521528</v>
      </c>
      <c r="O213" s="209">
        <f t="shared" si="140"/>
        <v>2.5348883851356696E-2</v>
      </c>
      <c r="P213" s="209">
        <f t="shared" si="140"/>
        <v>1.721222492355734E-3</v>
      </c>
      <c r="Q213" s="210">
        <f t="shared" si="140"/>
        <v>0</v>
      </c>
    </row>
    <row r="214" spans="2:17" hidden="1" outlineLevel="1" x14ac:dyDescent="0.25">
      <c r="B214" s="216" t="str">
        <f t="shared" si="137"/>
        <v>GASTOS OPERACIONALES</v>
      </c>
      <c r="C214" s="167" t="s">
        <v>12</v>
      </c>
      <c r="D214" s="148"/>
      <c r="E214" s="209">
        <f t="shared" ref="E214:Q214" si="141">+E200/D200-1</f>
        <v>9.3728370431833019E-2</v>
      </c>
      <c r="F214" s="209">
        <f t="shared" si="141"/>
        <v>-0.22280941340946869</v>
      </c>
      <c r="G214" s="209">
        <f t="shared" si="141"/>
        <v>0.15017353430074309</v>
      </c>
      <c r="H214" s="209">
        <f t="shared" si="141"/>
        <v>0.20265451370036147</v>
      </c>
      <c r="I214" s="209">
        <f t="shared" si="141"/>
        <v>5.6640517686090242E-2</v>
      </c>
      <c r="J214" s="209">
        <f t="shared" si="141"/>
        <v>4.6566989928623403E-2</v>
      </c>
      <c r="K214" s="209">
        <f t="shared" si="141"/>
        <v>4.1522081296160307E-2</v>
      </c>
      <c r="L214" s="209">
        <f t="shared" si="141"/>
        <v>3.9010209467546186E-2</v>
      </c>
      <c r="M214" s="209">
        <f t="shared" si="141"/>
        <v>3.9321871428949828E-2</v>
      </c>
      <c r="N214" s="209">
        <f t="shared" si="141"/>
        <v>3.9954435768376984E-2</v>
      </c>
      <c r="O214" s="209">
        <f t="shared" si="141"/>
        <v>3.9955250585253399E-2</v>
      </c>
      <c r="P214" s="209">
        <f t="shared" si="141"/>
        <v>3.995221037551655E-2</v>
      </c>
      <c r="Q214" s="210">
        <f t="shared" si="141"/>
        <v>3.9901257520843059E-2</v>
      </c>
    </row>
    <row r="215" spans="2:17" s="16" customFormat="1" hidden="1" outlineLevel="1" x14ac:dyDescent="0.25">
      <c r="B215" s="217" t="str">
        <f t="shared" si="137"/>
        <v>RESULTADO OPERACIONAL</v>
      </c>
      <c r="C215" s="136" t="s">
        <v>12</v>
      </c>
      <c r="D215" s="137"/>
      <c r="E215" s="234">
        <f t="shared" ref="E215:Q215" si="142">+E201/D201-1</f>
        <v>2.3434726054325727E-2</v>
      </c>
      <c r="F215" s="234">
        <f t="shared" si="142"/>
        <v>2.0009352097207382</v>
      </c>
      <c r="G215" s="234">
        <f t="shared" si="142"/>
        <v>-0.8256079700737593</v>
      </c>
      <c r="H215" s="234">
        <f t="shared" si="142"/>
        <v>-0.13866930927714061</v>
      </c>
      <c r="I215" s="234">
        <f t="shared" si="142"/>
        <v>-1.9301298462841823</v>
      </c>
      <c r="J215" s="234">
        <f t="shared" si="142"/>
        <v>-1.4217293783207274</v>
      </c>
      <c r="K215" s="234">
        <f t="shared" si="142"/>
        <v>-0.8153112557961385</v>
      </c>
      <c r="L215" s="234">
        <f t="shared" si="142"/>
        <v>-5.4506178929711933</v>
      </c>
      <c r="M215" s="234">
        <f t="shared" si="142"/>
        <v>1.3971708208711608</v>
      </c>
      <c r="N215" s="234">
        <f t="shared" si="142"/>
        <v>0.40594589731252473</v>
      </c>
      <c r="O215" s="234">
        <f t="shared" si="142"/>
        <v>9.3245370768006319E-2</v>
      </c>
      <c r="P215" s="234">
        <f t="shared" si="142"/>
        <v>3.2661587494998923E-2</v>
      </c>
      <c r="Q215" s="235">
        <f t="shared" si="142"/>
        <v>-4.4689105708142107E-2</v>
      </c>
    </row>
    <row r="216" spans="2:17" s="6" customFormat="1" hidden="1" outlineLevel="1" x14ac:dyDescent="0.25">
      <c r="B216" s="218" t="str">
        <f t="shared" si="137"/>
        <v>MARGEN OPERACIONAL</v>
      </c>
      <c r="C216" s="220" t="s">
        <v>12</v>
      </c>
      <c r="D216" s="219"/>
      <c r="E216" s="209">
        <f t="shared" ref="E216:Q216" si="143">+E202/D202-1</f>
        <v>-9.7507576437804722E-2</v>
      </c>
      <c r="F216" s="209">
        <f t="shared" si="143"/>
        <v>1.8046796878321612</v>
      </c>
      <c r="G216" s="209">
        <f t="shared" si="143"/>
        <v>-0.84241004221973492</v>
      </c>
      <c r="H216" s="209">
        <f t="shared" si="143"/>
        <v>-0.20085259924408905</v>
      </c>
      <c r="I216" s="209">
        <f t="shared" si="143"/>
        <v>-1.865723989928656</v>
      </c>
      <c r="J216" s="209">
        <f t="shared" si="143"/>
        <v>-1.4075720502214133</v>
      </c>
      <c r="K216" s="209">
        <f t="shared" si="143"/>
        <v>-0.82195650475739634</v>
      </c>
      <c r="L216" s="209">
        <f t="shared" si="143"/>
        <v>-5.3037854083636109</v>
      </c>
      <c r="M216" s="209">
        <f t="shared" si="143"/>
        <v>1.3157714542541283</v>
      </c>
      <c r="N216" s="209">
        <f t="shared" si="143"/>
        <v>0.35820499184903154</v>
      </c>
      <c r="O216" s="209">
        <f t="shared" si="143"/>
        <v>5.6122659293828425E-2</v>
      </c>
      <c r="P216" s="209">
        <f t="shared" si="143"/>
        <v>-2.4039148963929113E-3</v>
      </c>
      <c r="Q216" s="210">
        <f t="shared" si="143"/>
        <v>-4.9441896227007121E-2</v>
      </c>
    </row>
    <row r="217" spans="2:17" hidden="1" outlineLevel="1" x14ac:dyDescent="0.25">
      <c r="B217" s="216" t="str">
        <f t="shared" si="137"/>
        <v>OTROS INGRESOS</v>
      </c>
      <c r="C217" s="167" t="s">
        <v>12</v>
      </c>
      <c r="D217" s="148"/>
      <c r="E217" s="209">
        <f t="shared" ref="E217:Q217" si="144">+E203/D203-1</f>
        <v>0.30032615040882038</v>
      </c>
      <c r="F217" s="209">
        <f t="shared" si="144"/>
        <v>-0.54914972749057522</v>
      </c>
      <c r="G217" s="209">
        <f t="shared" si="144"/>
        <v>1.0393050688334404</v>
      </c>
      <c r="H217" s="209">
        <f t="shared" si="144"/>
        <v>3.6350182127502171</v>
      </c>
      <c r="I217" s="209">
        <f t="shared" si="144"/>
        <v>-0.95429699674859969</v>
      </c>
      <c r="J217" s="209">
        <f t="shared" si="144"/>
        <v>2.2837567251936823</v>
      </c>
      <c r="K217" s="209">
        <f t="shared" si="144"/>
        <v>6.7435296125939015E-2</v>
      </c>
      <c r="L217" s="209">
        <f t="shared" si="144"/>
        <v>5.0391735894750322E-2</v>
      </c>
      <c r="M217" s="209">
        <f t="shared" si="144"/>
        <v>-0.19861283813896524</v>
      </c>
      <c r="N217" s="209">
        <f t="shared" si="144"/>
        <v>4.2361706444146163E-2</v>
      </c>
      <c r="O217" s="209">
        <f t="shared" si="144"/>
        <v>3.314188740204993E-2</v>
      </c>
      <c r="P217" s="209">
        <f t="shared" si="144"/>
        <v>3.3519751366630768E-2</v>
      </c>
      <c r="Q217" s="210">
        <f t="shared" si="144"/>
        <v>8.4090944506358678E-3</v>
      </c>
    </row>
    <row r="218" spans="2:17" hidden="1" outlineLevel="1" x14ac:dyDescent="0.25">
      <c r="B218" s="216" t="str">
        <f t="shared" si="137"/>
        <v>OTROS GASTOS</v>
      </c>
      <c r="C218" s="167" t="s">
        <v>12</v>
      </c>
      <c r="D218" s="148"/>
      <c r="E218" s="209">
        <f t="shared" ref="E218:Q218" si="145">+E204/D204-1</f>
        <v>1.5079229237184317</v>
      </c>
      <c r="F218" s="209">
        <f t="shared" si="145"/>
        <v>-0.81701651860775337</v>
      </c>
      <c r="G218" s="209">
        <f t="shared" si="145"/>
        <v>0.88314230488430923</v>
      </c>
      <c r="H218" s="209">
        <f t="shared" si="145"/>
        <v>0.48775134870034331</v>
      </c>
      <c r="I218" s="209">
        <f t="shared" si="145"/>
        <v>1.8120938973636282</v>
      </c>
      <c r="J218" s="209">
        <f t="shared" si="145"/>
        <v>-0.6927502644217679</v>
      </c>
      <c r="K218" s="209">
        <f t="shared" si="145"/>
        <v>2.6978265747854557E-2</v>
      </c>
      <c r="L218" s="209">
        <f t="shared" si="145"/>
        <v>2.7057645372908556E-2</v>
      </c>
      <c r="M218" s="209">
        <f t="shared" si="145"/>
        <v>2.7135161166126132E-2</v>
      </c>
      <c r="N218" s="209">
        <f t="shared" si="145"/>
        <v>2.7210845327676925E-2</v>
      </c>
      <c r="O218" s="209">
        <f t="shared" si="145"/>
        <v>2.7284730116499567E-2</v>
      </c>
      <c r="P218" s="209">
        <f t="shared" si="145"/>
        <v>2.7356847810643181E-2</v>
      </c>
      <c r="Q218" s="210">
        <f t="shared" si="145"/>
        <v>2.7427230669665015E-2</v>
      </c>
    </row>
    <row r="219" spans="2:17" s="16" customFormat="1" hidden="1" outlineLevel="1" x14ac:dyDescent="0.25">
      <c r="B219" s="217" t="str">
        <f t="shared" si="137"/>
        <v>RESULTADO ANTES DE IMPUESTOS</v>
      </c>
      <c r="C219" s="136" t="s">
        <v>12</v>
      </c>
      <c r="D219" s="137"/>
      <c r="E219" s="234">
        <f t="shared" ref="E219:Q219" si="146">+E205/D205-1</f>
        <v>9.1855243246445228E-2</v>
      </c>
      <c r="F219" s="234">
        <f t="shared" si="146"/>
        <v>2.3089641872354751</v>
      </c>
      <c r="G219" s="234">
        <f t="shared" si="146"/>
        <v>-0.90247367629647446</v>
      </c>
      <c r="H219" s="234">
        <f t="shared" si="146"/>
        <v>-4.2162145443650152</v>
      </c>
      <c r="I219" s="234">
        <f t="shared" si="146"/>
        <v>-0.80692471250807718</v>
      </c>
      <c r="J219" s="234">
        <f t="shared" si="146"/>
        <v>-1.3001351738728091</v>
      </c>
      <c r="K219" s="234">
        <f t="shared" si="146"/>
        <v>-2.9826079846396061</v>
      </c>
      <c r="L219" s="234">
        <f t="shared" si="146"/>
        <v>1.800167256880508</v>
      </c>
      <c r="M219" s="234">
        <f t="shared" si="146"/>
        <v>0.5196988390323769</v>
      </c>
      <c r="N219" s="234">
        <f t="shared" si="146"/>
        <v>0.33220678961445271</v>
      </c>
      <c r="O219" s="234">
        <f t="shared" si="146"/>
        <v>8.4146781273944038E-2</v>
      </c>
      <c r="P219" s="234">
        <f t="shared" si="146"/>
        <v>3.3856016448758908E-2</v>
      </c>
      <c r="Q219" s="235">
        <f t="shared" si="146"/>
        <v>-3.9271083543407359E-2</v>
      </c>
    </row>
    <row r="220" spans="2:17" hidden="1" outlineLevel="1" x14ac:dyDescent="0.25">
      <c r="B220" s="216" t="str">
        <f t="shared" si="137"/>
        <v>IMPUESTO DE RENTA</v>
      </c>
      <c r="C220" s="164" t="s">
        <v>12</v>
      </c>
      <c r="D220" s="148"/>
      <c r="E220" s="209"/>
      <c r="F220" s="209"/>
      <c r="G220" s="209"/>
      <c r="H220" s="209"/>
      <c r="I220" s="209"/>
      <c r="J220" s="209" t="e">
        <f t="shared" ref="J220:Q220" si="147">+J206/I206-1</f>
        <v>#DIV/0!</v>
      </c>
      <c r="K220" s="209" t="e">
        <f t="shared" si="147"/>
        <v>#DIV/0!</v>
      </c>
      <c r="L220" s="209" t="e">
        <f t="shared" si="147"/>
        <v>#DIV/0!</v>
      </c>
      <c r="M220" s="209" t="e">
        <f t="shared" si="147"/>
        <v>#DIV/0!</v>
      </c>
      <c r="N220" s="209" t="e">
        <f t="shared" si="147"/>
        <v>#DIV/0!</v>
      </c>
      <c r="O220" s="209" t="e">
        <f t="shared" si="147"/>
        <v>#DIV/0!</v>
      </c>
      <c r="P220" s="209" t="e">
        <f t="shared" si="147"/>
        <v>#DIV/0!</v>
      </c>
      <c r="Q220" s="210" t="e">
        <f t="shared" si="147"/>
        <v>#DIV/0!</v>
      </c>
    </row>
    <row r="221" spans="2:17" s="16" customFormat="1" hidden="1" outlineLevel="1" x14ac:dyDescent="0.25">
      <c r="B221" s="217" t="str">
        <f t="shared" si="137"/>
        <v>RESULTADO FINAL</v>
      </c>
      <c r="C221" s="208" t="s">
        <v>12</v>
      </c>
      <c r="D221" s="137"/>
      <c r="E221" s="234">
        <f t="shared" ref="E221:Q221" si="148">+E207/D207-1</f>
        <v>9.1855243246445228E-2</v>
      </c>
      <c r="F221" s="234">
        <f t="shared" si="148"/>
        <v>2.3089641872354751</v>
      </c>
      <c r="G221" s="234">
        <f t="shared" si="148"/>
        <v>-0.90247367629647446</v>
      </c>
      <c r="H221" s="234">
        <f t="shared" si="148"/>
        <v>-4.2162145443650152</v>
      </c>
      <c r="I221" s="234">
        <f t="shared" si="148"/>
        <v>-0.80692471250807718</v>
      </c>
      <c r="J221" s="234">
        <f t="shared" si="148"/>
        <v>-1.3001351738728091</v>
      </c>
      <c r="K221" s="234">
        <f t="shared" si="148"/>
        <v>-2.9826079846396061</v>
      </c>
      <c r="L221" s="234">
        <f t="shared" si="148"/>
        <v>1.800167256880508</v>
      </c>
      <c r="M221" s="234">
        <f t="shared" si="148"/>
        <v>0.5196988390323769</v>
      </c>
      <c r="N221" s="234">
        <f t="shared" si="148"/>
        <v>0.33220678961445271</v>
      </c>
      <c r="O221" s="234">
        <f t="shared" si="148"/>
        <v>8.4146781273944038E-2</v>
      </c>
      <c r="P221" s="234">
        <f t="shared" si="148"/>
        <v>3.3856016448758908E-2</v>
      </c>
      <c r="Q221" s="235">
        <f t="shared" si="148"/>
        <v>-3.9271083543407359E-2</v>
      </c>
    </row>
    <row r="222" spans="2:17" collapsed="1" x14ac:dyDescent="0.25"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</row>
    <row r="223" spans="2:17" s="260" customFormat="1" x14ac:dyDescent="0.25">
      <c r="B223" s="168" t="s">
        <v>1322</v>
      </c>
      <c r="C223" s="169"/>
      <c r="D223" s="170"/>
      <c r="E223" s="170"/>
      <c r="F223" s="170"/>
      <c r="G223" s="170"/>
      <c r="H223" s="170"/>
      <c r="I223" s="170"/>
      <c r="J223" s="170"/>
      <c r="K223" s="170"/>
      <c r="L223" s="170"/>
      <c r="M223" s="170"/>
      <c r="N223" s="170"/>
      <c r="O223" s="170"/>
      <c r="P223" s="170"/>
      <c r="Q223" s="171"/>
    </row>
    <row r="224" spans="2:17" hidden="1" outlineLevel="1" x14ac:dyDescent="0.25"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</row>
    <row r="225" spans="2:17" hidden="1" outlineLevel="1" x14ac:dyDescent="0.25">
      <c r="B225" s="211" t="s">
        <v>1179</v>
      </c>
      <c r="C225" s="211" t="s">
        <v>1321</v>
      </c>
      <c r="D225" s="212" t="s">
        <v>1099</v>
      </c>
      <c r="E225" s="212" t="s">
        <v>1100</v>
      </c>
      <c r="F225" s="212" t="s">
        <v>1101</v>
      </c>
      <c r="G225" s="212" t="s">
        <v>1102</v>
      </c>
      <c r="H225" s="212" t="s">
        <v>1103</v>
      </c>
      <c r="I225" s="212" t="s">
        <v>1104</v>
      </c>
      <c r="J225" s="212" t="s">
        <v>1105</v>
      </c>
      <c r="K225" s="212" t="s">
        <v>1106</v>
      </c>
      <c r="L225" s="212" t="s">
        <v>1107</v>
      </c>
      <c r="M225" s="212" t="s">
        <v>1108</v>
      </c>
      <c r="N225" s="212" t="s">
        <v>1346</v>
      </c>
      <c r="O225" s="212" t="s">
        <v>1347</v>
      </c>
      <c r="P225" s="212" t="s">
        <v>1348</v>
      </c>
      <c r="Q225" s="212" t="s">
        <v>1349</v>
      </c>
    </row>
    <row r="226" spans="2:17" s="16" customFormat="1" hidden="1" outlineLevel="1" x14ac:dyDescent="0.25">
      <c r="B226" s="207" t="str">
        <f t="shared" ref="B226:Q226" si="149">+B10</f>
        <v>ACTIVOS</v>
      </c>
      <c r="C226" s="207" t="str">
        <f t="shared" si="149"/>
        <v>COP M</v>
      </c>
      <c r="D226" s="137">
        <f t="shared" si="149"/>
        <v>190047779441</v>
      </c>
      <c r="E226" s="134">
        <f t="shared" si="149"/>
        <v>233318009664</v>
      </c>
      <c r="F226" s="134">
        <f t="shared" si="149"/>
        <v>311670526572</v>
      </c>
      <c r="G226" s="134">
        <f t="shared" si="149"/>
        <v>357526394806.61145</v>
      </c>
      <c r="H226" s="134">
        <f t="shared" si="149"/>
        <v>536536092767.6153</v>
      </c>
      <c r="I226" s="134">
        <f t="shared" si="149"/>
        <v>562848073534.18335</v>
      </c>
      <c r="J226" s="134">
        <f t="shared" si="149"/>
        <v>630162628866.4082</v>
      </c>
      <c r="K226" s="134">
        <f t="shared" si="149"/>
        <v>670091521881.78174</v>
      </c>
      <c r="L226" s="134">
        <f t="shared" si="149"/>
        <v>825368312425.46118</v>
      </c>
      <c r="M226" s="134">
        <f t="shared" si="149"/>
        <v>907825625414.30261</v>
      </c>
      <c r="N226" s="134">
        <f t="shared" si="149"/>
        <v>1016028919065.671</v>
      </c>
      <c r="O226" s="134">
        <f t="shared" si="149"/>
        <v>1139145824355.8647</v>
      </c>
      <c r="P226" s="134">
        <f t="shared" si="149"/>
        <v>1268588652891.125</v>
      </c>
      <c r="Q226" s="135">
        <f t="shared" si="149"/>
        <v>1361807708296.498</v>
      </c>
    </row>
    <row r="227" spans="2:17" hidden="1" outlineLevel="1" x14ac:dyDescent="0.25">
      <c r="B227" s="221" t="str">
        <f t="shared" ref="B227:Q227" si="150">+B12</f>
        <v>LIQUIDEZ</v>
      </c>
      <c r="C227" s="214" t="str">
        <f t="shared" si="150"/>
        <v>COP M</v>
      </c>
      <c r="D227" s="148">
        <f t="shared" si="150"/>
        <v>10829724787</v>
      </c>
      <c r="E227" s="143">
        <f t="shared" si="150"/>
        <v>20611607335</v>
      </c>
      <c r="F227" s="143">
        <f t="shared" si="150"/>
        <v>39587220947</v>
      </c>
      <c r="G227" s="143">
        <f t="shared" si="150"/>
        <v>61681498714.984261</v>
      </c>
      <c r="H227" s="143">
        <f t="shared" si="150"/>
        <v>218932520833.20761</v>
      </c>
      <c r="I227" s="143">
        <f t="shared" si="150"/>
        <v>253618821251.07599</v>
      </c>
      <c r="J227" s="143">
        <f t="shared" si="150"/>
        <v>339745912220.68298</v>
      </c>
      <c r="K227" s="143">
        <f t="shared" si="150"/>
        <v>397714391707.65704</v>
      </c>
      <c r="L227" s="143">
        <f t="shared" si="150"/>
        <v>572651524857.43738</v>
      </c>
      <c r="M227" s="143">
        <f t="shared" si="150"/>
        <v>646866276760.48828</v>
      </c>
      <c r="N227" s="143">
        <f t="shared" si="150"/>
        <v>746537390851.57446</v>
      </c>
      <c r="O227" s="143">
        <f t="shared" si="150"/>
        <v>860822379355.84607</v>
      </c>
      <c r="P227" s="143">
        <f t="shared" si="150"/>
        <v>981122685054.69434</v>
      </c>
      <c r="Q227" s="144">
        <f t="shared" si="150"/>
        <v>1072963287082.887</v>
      </c>
    </row>
    <row r="228" spans="2:17" hidden="1" outlineLevel="1" x14ac:dyDescent="0.25">
      <c r="B228" s="221" t="str">
        <f t="shared" ref="B228:Q228" si="151">+B16</f>
        <v>CUENTAS POR COBRAR SALUD</v>
      </c>
      <c r="C228" s="214" t="str">
        <f t="shared" si="151"/>
        <v>COP M</v>
      </c>
      <c r="D228" s="148">
        <f t="shared" si="151"/>
        <v>112804280817</v>
      </c>
      <c r="E228" s="143">
        <f t="shared" si="151"/>
        <v>156232780967</v>
      </c>
      <c r="F228" s="143">
        <f t="shared" si="151"/>
        <v>226327325388</v>
      </c>
      <c r="G228" s="143">
        <f t="shared" si="151"/>
        <v>246845823384.32352</v>
      </c>
      <c r="H228" s="143">
        <f t="shared" si="151"/>
        <v>266309966508.59122</v>
      </c>
      <c r="I228" s="143">
        <f t="shared" si="151"/>
        <v>255676308111.1268</v>
      </c>
      <c r="J228" s="143">
        <f t="shared" si="151"/>
        <v>235769877555.76254</v>
      </c>
      <c r="K228" s="143">
        <f t="shared" si="151"/>
        <v>216649904936.67456</v>
      </c>
      <c r="L228" s="143">
        <f t="shared" si="151"/>
        <v>195890015817.12744</v>
      </c>
      <c r="M228" s="143">
        <f t="shared" si="151"/>
        <v>202903101417.76074</v>
      </c>
      <c r="N228" s="143">
        <f t="shared" si="151"/>
        <v>210162696977.25635</v>
      </c>
      <c r="O228" s="143">
        <f t="shared" si="151"/>
        <v>217677467320.66818</v>
      </c>
      <c r="P228" s="143">
        <f t="shared" si="151"/>
        <v>225456381841.65088</v>
      </c>
      <c r="Q228" s="144">
        <f t="shared" si="151"/>
        <v>226601807640.56918</v>
      </c>
    </row>
    <row r="229" spans="2:17" hidden="1" outlineLevel="1" x14ac:dyDescent="0.25">
      <c r="B229" s="222" t="str">
        <f t="shared" ref="B229:Q229" si="152">+B26</f>
        <v>ACTIVOS FIJOS</v>
      </c>
      <c r="C229" s="200" t="str">
        <f t="shared" si="152"/>
        <v>COP M</v>
      </c>
      <c r="D229" s="149">
        <f t="shared" si="152"/>
        <v>186657194</v>
      </c>
      <c r="E229" s="146">
        <f t="shared" si="152"/>
        <v>749712579</v>
      </c>
      <c r="F229" s="146">
        <f t="shared" si="152"/>
        <v>811293776</v>
      </c>
      <c r="G229" s="146">
        <f t="shared" si="152"/>
        <v>1172787394.4681458</v>
      </c>
      <c r="H229" s="146">
        <f t="shared" si="152"/>
        <v>1446207970.5094631</v>
      </c>
      <c r="I229" s="146">
        <f t="shared" si="152"/>
        <v>1622818770.9330814</v>
      </c>
      <c r="J229" s="146">
        <f t="shared" si="152"/>
        <v>1671926909.047401</v>
      </c>
      <c r="K229" s="146">
        <f t="shared" si="152"/>
        <v>1590689602.896553</v>
      </c>
      <c r="L229" s="146">
        <f t="shared" si="152"/>
        <v>1588782830.0307746</v>
      </c>
      <c r="M229" s="146">
        <f t="shared" si="152"/>
        <v>1644740804.6195936</v>
      </c>
      <c r="N229" s="146">
        <f t="shared" si="152"/>
        <v>1702558154.3413267</v>
      </c>
      <c r="O229" s="146">
        <f t="shared" si="152"/>
        <v>1762238898.0018454</v>
      </c>
      <c r="P229" s="146">
        <f t="shared" si="152"/>
        <v>1824181595.2666101</v>
      </c>
      <c r="Q229" s="147">
        <f t="shared" si="152"/>
        <v>1865542151.5312157</v>
      </c>
    </row>
    <row r="230" spans="2:17" hidden="1" outlineLevel="1" x14ac:dyDescent="0.25"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</row>
    <row r="231" spans="2:17" s="16" customFormat="1" hidden="1" outlineLevel="1" x14ac:dyDescent="0.25">
      <c r="B231" s="207" t="str">
        <f t="shared" ref="B231:Q231" si="153">+B35</f>
        <v>PASIVOS</v>
      </c>
      <c r="C231" s="207" t="str">
        <f t="shared" si="153"/>
        <v>COP M</v>
      </c>
      <c r="D231" s="137">
        <f t="shared" si="153"/>
        <v>359546196656</v>
      </c>
      <c r="E231" s="134">
        <f t="shared" si="153"/>
        <v>522189162208</v>
      </c>
      <c r="F231" s="134">
        <f t="shared" si="153"/>
        <v>983909878171.19678</v>
      </c>
      <c r="G231" s="134">
        <f t="shared" si="153"/>
        <v>1068288654619.7548</v>
      </c>
      <c r="H231" s="134">
        <f t="shared" si="153"/>
        <v>1123400414891.8254</v>
      </c>
      <c r="I231" s="134">
        <f t="shared" si="153"/>
        <v>1125790765719.4465</v>
      </c>
      <c r="J231" s="134">
        <f t="shared" si="153"/>
        <v>1200285043612.718</v>
      </c>
      <c r="K231" s="134">
        <f t="shared" si="153"/>
        <v>1195979361351.063</v>
      </c>
      <c r="L231" s="134">
        <f t="shared" si="153"/>
        <v>1187396960288.406</v>
      </c>
      <c r="M231" s="134">
        <f t="shared" si="153"/>
        <v>1179280306068.3289</v>
      </c>
      <c r="N231" s="134">
        <f t="shared" si="153"/>
        <v>1206786549330.0928</v>
      </c>
      <c r="O231" s="134">
        <f t="shared" si="153"/>
        <v>1242416007182.0955</v>
      </c>
      <c r="P231" s="134">
        <f t="shared" si="153"/>
        <v>1281409411819.6372</v>
      </c>
      <c r="Q231" s="135">
        <f t="shared" si="153"/>
        <v>1287731090209.6321</v>
      </c>
    </row>
    <row r="232" spans="2:17" hidden="1" outlineLevel="1" x14ac:dyDescent="0.25">
      <c r="B232" s="221" t="str">
        <f t="shared" ref="B232:Q232" si="154">+B37</f>
        <v>PASIVOS DEL COSTO MEDICO</v>
      </c>
      <c r="C232" s="214" t="str">
        <f t="shared" si="154"/>
        <v>COP M</v>
      </c>
      <c r="D232" s="148">
        <f t="shared" si="154"/>
        <v>324534582843</v>
      </c>
      <c r="E232" s="143">
        <f t="shared" si="154"/>
        <v>510380337595</v>
      </c>
      <c r="F232" s="143">
        <f t="shared" si="154"/>
        <v>961509589128.19678</v>
      </c>
      <c r="G232" s="143">
        <f t="shared" si="154"/>
        <v>1043783807372.6614</v>
      </c>
      <c r="H232" s="143">
        <f t="shared" si="154"/>
        <v>1096485333413.5554</v>
      </c>
      <c r="I232" s="143">
        <f t="shared" si="154"/>
        <v>1098924227871.3896</v>
      </c>
      <c r="J232" s="143">
        <f t="shared" si="154"/>
        <v>1172741551922.501</v>
      </c>
      <c r="K232" s="143">
        <f t="shared" si="154"/>
        <v>1167784301448.1782</v>
      </c>
      <c r="L232" s="143">
        <f t="shared" si="154"/>
        <v>1158537035343.5718</v>
      </c>
      <c r="M232" s="143">
        <f t="shared" si="154"/>
        <v>1149725576650.7688</v>
      </c>
      <c r="N232" s="143">
        <f t="shared" si="154"/>
        <v>1176509910819.3809</v>
      </c>
      <c r="O232" s="143">
        <f t="shared" si="154"/>
        <v>1211389294907.1062</v>
      </c>
      <c r="P232" s="143">
        <f t="shared" si="154"/>
        <v>1249603359503.825</v>
      </c>
      <c r="Q232" s="144">
        <f t="shared" si="154"/>
        <v>1255253581912.054</v>
      </c>
    </row>
    <row r="233" spans="2:17" hidden="1" outlineLevel="1" x14ac:dyDescent="0.25">
      <c r="B233" s="222" t="str">
        <f t="shared" ref="B233:Q233" si="155">+B42</f>
        <v>PASIVOS OPERACIONALES</v>
      </c>
      <c r="C233" s="200" t="str">
        <f t="shared" si="155"/>
        <v>COP M</v>
      </c>
      <c r="D233" s="149">
        <f t="shared" si="155"/>
        <v>35011613813</v>
      </c>
      <c r="E233" s="146">
        <f t="shared" si="155"/>
        <v>11808824613</v>
      </c>
      <c r="F233" s="146">
        <f t="shared" si="155"/>
        <v>22400289043</v>
      </c>
      <c r="G233" s="146">
        <f t="shared" si="155"/>
        <v>24504847247.09341</v>
      </c>
      <c r="H233" s="146">
        <f t="shared" si="155"/>
        <v>26915081478.270058</v>
      </c>
      <c r="I233" s="146">
        <f t="shared" si="155"/>
        <v>26866537848.056805</v>
      </c>
      <c r="J233" s="146">
        <f t="shared" si="155"/>
        <v>27543491690.217125</v>
      </c>
      <c r="K233" s="146">
        <f t="shared" si="155"/>
        <v>28195059902.884811</v>
      </c>
      <c r="L233" s="146">
        <f t="shared" si="155"/>
        <v>28859924944.83411</v>
      </c>
      <c r="M233" s="146">
        <f t="shared" si="155"/>
        <v>29554729417.560032</v>
      </c>
      <c r="N233" s="146">
        <f t="shared" si="155"/>
        <v>30276638510.711864</v>
      </c>
      <c r="O233" s="146">
        <f t="shared" si="155"/>
        <v>31026712274.989189</v>
      </c>
      <c r="P233" s="146">
        <f t="shared" si="155"/>
        <v>31806052315.812214</v>
      </c>
      <c r="Q233" s="147">
        <f t="shared" si="155"/>
        <v>32477508297.578159</v>
      </c>
    </row>
    <row r="234" spans="2:17" hidden="1" outlineLevel="1" x14ac:dyDescent="0.25"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</row>
    <row r="235" spans="2:17" s="16" customFormat="1" hidden="1" outlineLevel="1" x14ac:dyDescent="0.25">
      <c r="B235" s="207" t="str">
        <f t="shared" ref="B235:Q235" si="156">+B50</f>
        <v>PATRIMONIO</v>
      </c>
      <c r="C235" s="207" t="str">
        <f t="shared" si="156"/>
        <v>COP M</v>
      </c>
      <c r="D235" s="137">
        <f t="shared" si="156"/>
        <v>-169498417215</v>
      </c>
      <c r="E235" s="134">
        <f t="shared" si="156"/>
        <v>-288871152544</v>
      </c>
      <c r="F235" s="134">
        <f t="shared" si="156"/>
        <v>-672239351599</v>
      </c>
      <c r="G235" s="134">
        <f t="shared" si="156"/>
        <v>-710762259812.94641</v>
      </c>
      <c r="H235" s="134">
        <f t="shared" si="156"/>
        <v>-586864322124.01331</v>
      </c>
      <c r="I235" s="134">
        <f t="shared" si="156"/>
        <v>-562942692185.06616</v>
      </c>
      <c r="J235" s="134">
        <f t="shared" si="156"/>
        <v>-570122414746.11304</v>
      </c>
      <c r="K235" s="134">
        <f t="shared" si="156"/>
        <v>-525887839469.08435</v>
      </c>
      <c r="L235" s="134">
        <f t="shared" si="156"/>
        <v>-362028647862.74786</v>
      </c>
      <c r="M235" s="134">
        <f t="shared" si="156"/>
        <v>-271454680653.82935</v>
      </c>
      <c r="N235" s="134">
        <f t="shared" si="156"/>
        <v>-190757630264.22479</v>
      </c>
      <c r="O235" s="134">
        <f t="shared" si="156"/>
        <v>-103270182826.03372</v>
      </c>
      <c r="P235" s="134">
        <f t="shared" si="156"/>
        <v>-12820758928.315292</v>
      </c>
      <c r="Q235" s="135">
        <f t="shared" si="156"/>
        <v>74076618087.062729</v>
      </c>
    </row>
    <row r="236" spans="2:17" hidden="1" outlineLevel="1" x14ac:dyDescent="0.25">
      <c r="B236" s="221" t="str">
        <f t="shared" ref="B236:Q236" si="157">+B51</f>
        <v>CAPITAL</v>
      </c>
      <c r="C236" s="214" t="str">
        <f t="shared" si="157"/>
        <v>COP M</v>
      </c>
      <c r="D236" s="148">
        <f t="shared" si="157"/>
        <v>81852000000</v>
      </c>
      <c r="E236" s="143">
        <f t="shared" si="157"/>
        <v>81852000000</v>
      </c>
      <c r="F236" s="143">
        <f t="shared" si="157"/>
        <v>81852000000</v>
      </c>
      <c r="G236" s="143">
        <f t="shared" si="157"/>
        <v>81852000000</v>
      </c>
      <c r="H236" s="143">
        <f t="shared" si="157"/>
        <v>81852000000</v>
      </c>
      <c r="I236" s="143">
        <f t="shared" si="157"/>
        <v>81852000000</v>
      </c>
      <c r="J236" s="143">
        <f t="shared" si="157"/>
        <v>81852000000</v>
      </c>
      <c r="K236" s="143">
        <f t="shared" si="157"/>
        <v>111852000000</v>
      </c>
      <c r="L236" s="143">
        <f t="shared" si="157"/>
        <v>235852000000</v>
      </c>
      <c r="M236" s="143">
        <f t="shared" si="157"/>
        <v>265852000000</v>
      </c>
      <c r="N236" s="143">
        <f t="shared" si="157"/>
        <v>265852000000</v>
      </c>
      <c r="O236" s="143">
        <f t="shared" si="157"/>
        <v>265852000000</v>
      </c>
      <c r="P236" s="143">
        <f t="shared" si="157"/>
        <v>265852000000</v>
      </c>
      <c r="Q236" s="144">
        <f t="shared" si="157"/>
        <v>265852000000</v>
      </c>
    </row>
    <row r="237" spans="2:17" hidden="1" outlineLevel="1" x14ac:dyDescent="0.25">
      <c r="B237" s="139" t="s">
        <v>1168</v>
      </c>
      <c r="C237" s="214" t="s">
        <v>11</v>
      </c>
      <c r="D237" s="148">
        <f t="shared" ref="D237:Q237" si="158">+D52</f>
        <v>81852000000</v>
      </c>
      <c r="E237" s="143">
        <f t="shared" si="158"/>
        <v>81852000000</v>
      </c>
      <c r="F237" s="143">
        <f t="shared" si="158"/>
        <v>81852000000</v>
      </c>
      <c r="G237" s="143">
        <f t="shared" si="158"/>
        <v>81852000000</v>
      </c>
      <c r="H237" s="143">
        <f t="shared" si="158"/>
        <v>81852000000</v>
      </c>
      <c r="I237" s="143">
        <f t="shared" si="158"/>
        <v>81852000000</v>
      </c>
      <c r="J237" s="143">
        <f t="shared" si="158"/>
        <v>81852000000</v>
      </c>
      <c r="K237" s="143">
        <f t="shared" si="158"/>
        <v>81852000000</v>
      </c>
      <c r="L237" s="143">
        <f t="shared" si="158"/>
        <v>81852000000</v>
      </c>
      <c r="M237" s="143">
        <f t="shared" si="158"/>
        <v>81852000000</v>
      </c>
      <c r="N237" s="143">
        <f t="shared" si="158"/>
        <v>81852000000</v>
      </c>
      <c r="O237" s="143">
        <f t="shared" si="158"/>
        <v>81852000000</v>
      </c>
      <c r="P237" s="143">
        <f t="shared" si="158"/>
        <v>81852000000</v>
      </c>
      <c r="Q237" s="144">
        <f t="shared" si="158"/>
        <v>81852000000</v>
      </c>
    </row>
    <row r="238" spans="2:17" hidden="1" outlineLevel="1" x14ac:dyDescent="0.25">
      <c r="B238" s="139" t="s">
        <v>1330</v>
      </c>
      <c r="C238" s="214" t="s">
        <v>11</v>
      </c>
      <c r="D238" s="148">
        <f t="shared" ref="D238:Q238" si="159">+D53</f>
        <v>0</v>
      </c>
      <c r="E238" s="143">
        <f t="shared" si="159"/>
        <v>0</v>
      </c>
      <c r="F238" s="143">
        <f t="shared" si="159"/>
        <v>0</v>
      </c>
      <c r="G238" s="143">
        <f t="shared" si="159"/>
        <v>0</v>
      </c>
      <c r="H238" s="143">
        <f t="shared" si="159"/>
        <v>0</v>
      </c>
      <c r="I238" s="143">
        <f t="shared" si="159"/>
        <v>0</v>
      </c>
      <c r="J238" s="143">
        <f t="shared" si="159"/>
        <v>0</v>
      </c>
      <c r="K238" s="143">
        <f t="shared" si="159"/>
        <v>30000000000</v>
      </c>
      <c r="L238" s="143">
        <f t="shared" si="159"/>
        <v>60000000000</v>
      </c>
      <c r="M238" s="143">
        <f t="shared" si="159"/>
        <v>90000000000</v>
      </c>
      <c r="N238" s="143">
        <f t="shared" si="159"/>
        <v>90000000000</v>
      </c>
      <c r="O238" s="143">
        <f t="shared" si="159"/>
        <v>90000000000</v>
      </c>
      <c r="P238" s="143">
        <f t="shared" si="159"/>
        <v>90000000000</v>
      </c>
      <c r="Q238" s="144">
        <f t="shared" si="159"/>
        <v>90000000000</v>
      </c>
    </row>
    <row r="239" spans="2:17" hidden="1" outlineLevel="1" x14ac:dyDescent="0.25">
      <c r="B239" s="139" t="s">
        <v>1416</v>
      </c>
      <c r="C239" s="214" t="s">
        <v>11</v>
      </c>
      <c r="D239" s="148">
        <f t="shared" ref="D239:Q239" si="160">+D54</f>
        <v>0</v>
      </c>
      <c r="E239" s="143">
        <f t="shared" si="160"/>
        <v>0</v>
      </c>
      <c r="F239" s="143">
        <f t="shared" si="160"/>
        <v>0</v>
      </c>
      <c r="G239" s="143">
        <f t="shared" si="160"/>
        <v>0</v>
      </c>
      <c r="H239" s="143">
        <f t="shared" si="160"/>
        <v>0</v>
      </c>
      <c r="I239" s="143">
        <f t="shared" si="160"/>
        <v>0</v>
      </c>
      <c r="J239" s="143">
        <f t="shared" si="160"/>
        <v>0</v>
      </c>
      <c r="K239" s="143">
        <f t="shared" si="160"/>
        <v>0</v>
      </c>
      <c r="L239" s="143">
        <f t="shared" si="160"/>
        <v>30000000000</v>
      </c>
      <c r="M239" s="143">
        <f t="shared" si="160"/>
        <v>30000000000</v>
      </c>
      <c r="N239" s="143">
        <f t="shared" si="160"/>
        <v>30000000000</v>
      </c>
      <c r="O239" s="143">
        <f t="shared" si="160"/>
        <v>30000000000</v>
      </c>
      <c r="P239" s="143">
        <f t="shared" si="160"/>
        <v>30000000000</v>
      </c>
      <c r="Q239" s="144">
        <f t="shared" si="160"/>
        <v>30000000000</v>
      </c>
    </row>
    <row r="240" spans="2:17" hidden="1" outlineLevel="1" x14ac:dyDescent="0.25">
      <c r="B240" s="139" t="s">
        <v>1417</v>
      </c>
      <c r="C240" s="214" t="s">
        <v>11</v>
      </c>
      <c r="D240" s="148">
        <f t="shared" ref="D240:Q240" si="161">+D55</f>
        <v>0</v>
      </c>
      <c r="E240" s="143">
        <f t="shared" si="161"/>
        <v>0</v>
      </c>
      <c r="F240" s="143">
        <f t="shared" si="161"/>
        <v>0</v>
      </c>
      <c r="G240" s="143">
        <f t="shared" si="161"/>
        <v>0</v>
      </c>
      <c r="H240" s="143">
        <f t="shared" si="161"/>
        <v>0</v>
      </c>
      <c r="I240" s="143">
        <f t="shared" si="161"/>
        <v>0</v>
      </c>
      <c r="J240" s="143">
        <f t="shared" si="161"/>
        <v>0</v>
      </c>
      <c r="K240" s="143">
        <f t="shared" si="161"/>
        <v>0</v>
      </c>
      <c r="L240" s="143">
        <f t="shared" si="161"/>
        <v>64000000000</v>
      </c>
      <c r="M240" s="143">
        <f t="shared" si="161"/>
        <v>64000000000</v>
      </c>
      <c r="N240" s="143">
        <f t="shared" si="161"/>
        <v>64000000000</v>
      </c>
      <c r="O240" s="143">
        <f t="shared" si="161"/>
        <v>64000000000</v>
      </c>
      <c r="P240" s="143">
        <f t="shared" si="161"/>
        <v>64000000000</v>
      </c>
      <c r="Q240" s="144">
        <f t="shared" si="161"/>
        <v>64000000000</v>
      </c>
    </row>
    <row r="241" spans="2:17" hidden="1" outlineLevel="1" x14ac:dyDescent="0.25">
      <c r="B241" s="221" t="str">
        <f t="shared" ref="B241:C243" si="162">+B56</f>
        <v>RESULTADOS ACUMULADOS</v>
      </c>
      <c r="C241" s="214" t="str">
        <f t="shared" si="162"/>
        <v>COP M</v>
      </c>
      <c r="D241" s="148">
        <f t="shared" ref="D241:Q241" si="163">+D56</f>
        <v>-142020232589</v>
      </c>
      <c r="E241" s="143">
        <f t="shared" si="163"/>
        <v>-251350417215</v>
      </c>
      <c r="F241" s="143">
        <f t="shared" si="163"/>
        <v>-370723152544</v>
      </c>
      <c r="G241" s="143">
        <f t="shared" si="163"/>
        <v>-765723258680</v>
      </c>
      <c r="H241" s="143">
        <f t="shared" si="163"/>
        <v>-804246166893.94641</v>
      </c>
      <c r="I241" s="143">
        <f t="shared" si="163"/>
        <v>-680348229205.01331</v>
      </c>
      <c r="J241" s="143">
        <f t="shared" si="163"/>
        <v>-656426599266.06616</v>
      </c>
      <c r="K241" s="143">
        <f t="shared" si="163"/>
        <v>-663606321827.11304</v>
      </c>
      <c r="L241" s="143">
        <f t="shared" si="163"/>
        <v>-649371746550.08435</v>
      </c>
      <c r="M241" s="143">
        <f t="shared" si="163"/>
        <v>-609512554943.74792</v>
      </c>
      <c r="N241" s="143">
        <f t="shared" si="163"/>
        <v>-548938587734.82935</v>
      </c>
      <c r="O241" s="143">
        <f t="shared" si="163"/>
        <v>-468241537345.22479</v>
      </c>
      <c r="P241" s="143">
        <f t="shared" si="163"/>
        <v>-380754089907.03369</v>
      </c>
      <c r="Q241" s="144">
        <f t="shared" si="163"/>
        <v>-290304666009.31531</v>
      </c>
    </row>
    <row r="242" spans="2:17" hidden="1" outlineLevel="1" x14ac:dyDescent="0.25">
      <c r="B242" s="221" t="str">
        <f t="shared" si="162"/>
        <v>RESULTADOS DEL EJERCICIO</v>
      </c>
      <c r="C242" s="214" t="str">
        <f t="shared" si="162"/>
        <v>COP M</v>
      </c>
      <c r="D242" s="148">
        <f t="shared" ref="D242:Q242" si="164">+D57</f>
        <v>-109330184626</v>
      </c>
      <c r="E242" s="143">
        <f t="shared" si="164"/>
        <v>-119372735329</v>
      </c>
      <c r="F242" s="143">
        <f t="shared" si="164"/>
        <v>-395000106136</v>
      </c>
      <c r="G242" s="143">
        <f t="shared" si="164"/>
        <v>-38522908213.946457</v>
      </c>
      <c r="H242" s="143">
        <f t="shared" si="164"/>
        <v>123897937688.93311</v>
      </c>
      <c r="I242" s="143">
        <f t="shared" si="164"/>
        <v>23921629938.947098</v>
      </c>
      <c r="J242" s="143">
        <f t="shared" si="164"/>
        <v>-7179722561.0468826</v>
      </c>
      <c r="K242" s="143">
        <f t="shared" si="164"/>
        <v>14234575277.028671</v>
      </c>
      <c r="L242" s="143">
        <f t="shared" si="164"/>
        <v>39859191606.336472</v>
      </c>
      <c r="M242" s="143">
        <f t="shared" si="164"/>
        <v>60573967208.918594</v>
      </c>
      <c r="N242" s="143">
        <f t="shared" si="164"/>
        <v>80697050389.604568</v>
      </c>
      <c r="O242" s="143">
        <f t="shared" si="164"/>
        <v>87487447438.191071</v>
      </c>
      <c r="P242" s="143">
        <f t="shared" si="164"/>
        <v>90449423897.718399</v>
      </c>
      <c r="Q242" s="144">
        <f t="shared" si="164"/>
        <v>86897377015.378036</v>
      </c>
    </row>
    <row r="243" spans="2:17" hidden="1" outlineLevel="1" x14ac:dyDescent="0.25">
      <c r="B243" s="222" t="str">
        <f t="shared" si="162"/>
        <v>IMPACTO TRANSITORIO</v>
      </c>
      <c r="C243" s="200" t="str">
        <f t="shared" si="162"/>
        <v>COP M</v>
      </c>
      <c r="D243" s="149">
        <f t="shared" ref="D243:Q243" si="165">+D58</f>
        <v>0</v>
      </c>
      <c r="E243" s="146">
        <f t="shared" si="165"/>
        <v>0</v>
      </c>
      <c r="F243" s="146">
        <f t="shared" si="165"/>
        <v>11631907081</v>
      </c>
      <c r="G243" s="146">
        <f t="shared" si="165"/>
        <v>11631907081</v>
      </c>
      <c r="H243" s="146">
        <f t="shared" si="165"/>
        <v>11631907081</v>
      </c>
      <c r="I243" s="146">
        <f t="shared" si="165"/>
        <v>11631907081</v>
      </c>
      <c r="J243" s="146">
        <f t="shared" si="165"/>
        <v>11631907081</v>
      </c>
      <c r="K243" s="146">
        <f t="shared" si="165"/>
        <v>11631907081</v>
      </c>
      <c r="L243" s="146">
        <f t="shared" si="165"/>
        <v>11631907081</v>
      </c>
      <c r="M243" s="146">
        <f t="shared" si="165"/>
        <v>11631907081</v>
      </c>
      <c r="N243" s="146">
        <f t="shared" si="165"/>
        <v>11631907081</v>
      </c>
      <c r="O243" s="146">
        <f t="shared" si="165"/>
        <v>11631907081</v>
      </c>
      <c r="P243" s="146">
        <f t="shared" si="165"/>
        <v>11631907081</v>
      </c>
      <c r="Q243" s="147">
        <f t="shared" si="165"/>
        <v>11631907081</v>
      </c>
    </row>
    <row r="244" spans="2:17" hidden="1" outlineLevel="1" x14ac:dyDescent="0.25">
      <c r="B244" s="130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</row>
    <row r="245" spans="2:17" s="327" customFormat="1" hidden="1" outlineLevel="1" x14ac:dyDescent="0.25">
      <c r="B245" s="328" t="s">
        <v>846</v>
      </c>
      <c r="C245" s="328" t="str">
        <f>+C243</f>
        <v>COP M</v>
      </c>
      <c r="D245" s="329">
        <f>D226-D231-D235</f>
        <v>0</v>
      </c>
      <c r="E245" s="330">
        <f t="shared" ref="E245:Q245" si="166">E226-E231-E235</f>
        <v>0</v>
      </c>
      <c r="F245" s="330">
        <f t="shared" si="166"/>
        <v>-0.19677734375</v>
      </c>
      <c r="G245" s="330">
        <f t="shared" si="166"/>
        <v>-0.1968994140625</v>
      </c>
      <c r="H245" s="330">
        <f t="shared" si="166"/>
        <v>-0.1968994140625</v>
      </c>
      <c r="I245" s="330">
        <f t="shared" si="166"/>
        <v>-0.197021484375</v>
      </c>
      <c r="J245" s="330">
        <f t="shared" si="166"/>
        <v>-0.19677734375</v>
      </c>
      <c r="K245" s="330">
        <f t="shared" si="166"/>
        <v>-0.1968994140625</v>
      </c>
      <c r="L245" s="330">
        <f t="shared" si="166"/>
        <v>-0.19696044921875</v>
      </c>
      <c r="M245" s="330">
        <f t="shared" si="166"/>
        <v>-0.1968994140625</v>
      </c>
      <c r="N245" s="330">
        <f t="shared" si="166"/>
        <v>-0.19696044921875</v>
      </c>
      <c r="O245" s="330">
        <f t="shared" si="166"/>
        <v>-0.196990966796875</v>
      </c>
      <c r="P245" s="330">
        <f t="shared" si="166"/>
        <v>-0.1969146728515625</v>
      </c>
      <c r="Q245" s="331">
        <f t="shared" si="166"/>
        <v>-0.1967620849609375</v>
      </c>
    </row>
    <row r="246" spans="2:17" collapsed="1" x14ac:dyDescent="0.25"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</row>
    <row r="247" spans="2:17" x14ac:dyDescent="0.25">
      <c r="B247" s="211" t="s">
        <v>1350</v>
      </c>
      <c r="C247" s="211" t="s">
        <v>1321</v>
      </c>
      <c r="D247" s="212" t="s">
        <v>1099</v>
      </c>
      <c r="E247" s="212" t="s">
        <v>1100</v>
      </c>
      <c r="F247" s="212" t="s">
        <v>1101</v>
      </c>
      <c r="G247" s="212" t="s">
        <v>1102</v>
      </c>
      <c r="H247" s="212" t="s">
        <v>1103</v>
      </c>
      <c r="I247" s="212" t="s">
        <v>1104</v>
      </c>
      <c r="J247" s="212" t="s">
        <v>1105</v>
      </c>
      <c r="K247" s="212" t="s">
        <v>1106</v>
      </c>
      <c r="L247" s="212" t="s">
        <v>1107</v>
      </c>
      <c r="M247" s="212" t="s">
        <v>1108</v>
      </c>
      <c r="N247" s="212" t="s">
        <v>1346</v>
      </c>
      <c r="O247" s="212" t="s">
        <v>1347</v>
      </c>
      <c r="P247" s="212" t="s">
        <v>1348</v>
      </c>
      <c r="Q247" s="212" t="s">
        <v>1349</v>
      </c>
    </row>
    <row r="248" spans="2:17" s="16" customFormat="1" hidden="1" outlineLevel="1" x14ac:dyDescent="0.25">
      <c r="B248" s="207" t="str">
        <f>+B226</f>
        <v>ACTIVOS</v>
      </c>
      <c r="C248" s="207" t="s">
        <v>12</v>
      </c>
      <c r="D248" s="236"/>
      <c r="E248" s="234">
        <f>+E226/D226-1</f>
        <v>0.22768079874583935</v>
      </c>
      <c r="F248" s="234">
        <f t="shared" ref="F248:Q248" si="167">+F226/E226-1</f>
        <v>0.33581855520212534</v>
      </c>
      <c r="G248" s="234">
        <f t="shared" si="167"/>
        <v>0.14712930586979378</v>
      </c>
      <c r="H248" s="234">
        <f t="shared" si="167"/>
        <v>0.50068946114546709</v>
      </c>
      <c r="I248" s="234">
        <f t="shared" si="167"/>
        <v>4.90404674005116E-2</v>
      </c>
      <c r="J248" s="234">
        <f t="shared" si="167"/>
        <v>0.11959631470273946</v>
      </c>
      <c r="K248" s="234">
        <f t="shared" si="167"/>
        <v>6.3362838712287761E-2</v>
      </c>
      <c r="L248" s="234">
        <f t="shared" si="167"/>
        <v>0.23172475023654093</v>
      </c>
      <c r="M248" s="234">
        <f t="shared" si="167"/>
        <v>9.9903657249124311E-2</v>
      </c>
      <c r="N248" s="234">
        <f t="shared" si="167"/>
        <v>0.11918951241543541</v>
      </c>
      <c r="O248" s="234">
        <f t="shared" si="167"/>
        <v>0.12117460731669993</v>
      </c>
      <c r="P248" s="234">
        <f t="shared" si="167"/>
        <v>0.11363148226299669</v>
      </c>
      <c r="Q248" s="235">
        <f t="shared" si="167"/>
        <v>7.3482491895955349E-2</v>
      </c>
    </row>
    <row r="249" spans="2:17" hidden="1" outlineLevel="1" x14ac:dyDescent="0.25">
      <c r="B249" s="221" t="str">
        <f>+B227</f>
        <v>LIQUIDEZ</v>
      </c>
      <c r="C249" s="214" t="s">
        <v>12</v>
      </c>
      <c r="D249" s="219"/>
      <c r="E249" s="209">
        <f t="shared" ref="E249:Q249" si="168">+E227/D227-1</f>
        <v>0.90324387187956701</v>
      </c>
      <c r="F249" s="209">
        <f t="shared" si="168"/>
        <v>0.92062755240723204</v>
      </c>
      <c r="G249" s="209">
        <f t="shared" si="168"/>
        <v>0.55811641331338802</v>
      </c>
      <c r="H249" s="209">
        <f t="shared" si="168"/>
        <v>2.5494033931445705</v>
      </c>
      <c r="I249" s="209">
        <f t="shared" si="168"/>
        <v>0.15843375066372123</v>
      </c>
      <c r="J249" s="209">
        <f t="shared" si="168"/>
        <v>0.33959266329190707</v>
      </c>
      <c r="K249" s="209">
        <f t="shared" si="168"/>
        <v>0.17062303739896212</v>
      </c>
      <c r="L249" s="209">
        <f t="shared" si="168"/>
        <v>0.43985618020674799</v>
      </c>
      <c r="M249" s="209">
        <f t="shared" si="168"/>
        <v>0.12959845330286468</v>
      </c>
      <c r="N249" s="209">
        <f t="shared" si="168"/>
        <v>0.15408302716017275</v>
      </c>
      <c r="O249" s="209">
        <f t="shared" si="168"/>
        <v>0.15308675748164036</v>
      </c>
      <c r="P249" s="209">
        <f t="shared" si="168"/>
        <v>0.13975043932857445</v>
      </c>
      <c r="Q249" s="210">
        <f t="shared" si="168"/>
        <v>9.3607663370939953E-2</v>
      </c>
    </row>
    <row r="250" spans="2:17" hidden="1" outlineLevel="1" x14ac:dyDescent="0.25">
      <c r="B250" s="221" t="str">
        <f>+B228</f>
        <v>CUENTAS POR COBRAR SALUD</v>
      </c>
      <c r="C250" s="214" t="s">
        <v>12</v>
      </c>
      <c r="D250" s="219"/>
      <c r="E250" s="209">
        <f t="shared" ref="E250:Q250" si="169">+E228/D228-1</f>
        <v>0.3849898233955602</v>
      </c>
      <c r="F250" s="209">
        <f t="shared" si="169"/>
        <v>0.44865452683586038</v>
      </c>
      <c r="G250" s="209">
        <f t="shared" si="169"/>
        <v>9.0658509577436153E-2</v>
      </c>
      <c r="H250" s="209">
        <f t="shared" si="169"/>
        <v>7.8851417688211134E-2</v>
      </c>
      <c r="I250" s="209">
        <f t="shared" si="169"/>
        <v>-3.9929629885336548E-2</v>
      </c>
      <c r="J250" s="209">
        <f t="shared" si="169"/>
        <v>-7.7857939605073478E-2</v>
      </c>
      <c r="K250" s="209">
        <f t="shared" si="169"/>
        <v>-8.1095909355790696E-2</v>
      </c>
      <c r="L250" s="209">
        <f t="shared" si="169"/>
        <v>-9.582228584690633E-2</v>
      </c>
      <c r="M250" s="209">
        <f t="shared" si="169"/>
        <v>3.5801138569412139E-2</v>
      </c>
      <c r="N250" s="209">
        <f t="shared" si="169"/>
        <v>3.5778632799449817E-2</v>
      </c>
      <c r="O250" s="209">
        <f t="shared" si="169"/>
        <v>3.5756918099624002E-2</v>
      </c>
      <c r="P250" s="209">
        <f t="shared" si="169"/>
        <v>3.573596576959126E-2</v>
      </c>
      <c r="Q250" s="210">
        <f t="shared" si="169"/>
        <v>5.0804762746650134E-3</v>
      </c>
    </row>
    <row r="251" spans="2:17" hidden="1" outlineLevel="1" x14ac:dyDescent="0.25">
      <c r="B251" s="222" t="str">
        <f>+B229</f>
        <v>ACTIVOS FIJOS</v>
      </c>
      <c r="C251" s="200" t="s">
        <v>12</v>
      </c>
      <c r="D251" s="237"/>
      <c r="E251" s="158">
        <f t="shared" ref="E251:Q251" si="170">+E229/D229-1</f>
        <v>3.0165212116067703</v>
      </c>
      <c r="F251" s="158">
        <f t="shared" si="170"/>
        <v>8.2139740915298187E-2</v>
      </c>
      <c r="G251" s="158">
        <f t="shared" si="170"/>
        <v>0.44557671852291625</v>
      </c>
      <c r="H251" s="158">
        <f t="shared" si="170"/>
        <v>0.23313737624653808</v>
      </c>
      <c r="I251" s="158">
        <f t="shared" si="170"/>
        <v>0.12211991914371945</v>
      </c>
      <c r="J251" s="158">
        <f t="shared" si="170"/>
        <v>3.026101188494601E-2</v>
      </c>
      <c r="K251" s="158">
        <f t="shared" si="170"/>
        <v>-4.8589029646716853E-2</v>
      </c>
      <c r="L251" s="158">
        <f t="shared" si="170"/>
        <v>-1.1987083226711048E-3</v>
      </c>
      <c r="M251" s="158">
        <f t="shared" si="170"/>
        <v>3.5220656675736484E-2</v>
      </c>
      <c r="N251" s="158">
        <f t="shared" si="170"/>
        <v>3.5152863940227652E-2</v>
      </c>
      <c r="O251" s="158">
        <f t="shared" si="170"/>
        <v>3.5053571302888997E-2</v>
      </c>
      <c r="P251" s="158">
        <f t="shared" si="170"/>
        <v>3.5150000000000015E-2</v>
      </c>
      <c r="Q251" s="159">
        <f t="shared" si="170"/>
        <v>2.267348622084997E-2</v>
      </c>
    </row>
    <row r="252" spans="2:17" hidden="1" outlineLevel="1" x14ac:dyDescent="0.25">
      <c r="B252" s="9"/>
      <c r="C252" s="9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</row>
    <row r="253" spans="2:17" s="16" customFormat="1" hidden="1" outlineLevel="1" x14ac:dyDescent="0.25">
      <c r="B253" s="207" t="str">
        <f>+B231</f>
        <v>PASIVOS</v>
      </c>
      <c r="C253" s="207" t="s">
        <v>12</v>
      </c>
      <c r="D253" s="236"/>
      <c r="E253" s="234">
        <f t="shared" ref="E253:Q253" si="171">+E231/D231-1</f>
        <v>0.45235623979527317</v>
      </c>
      <c r="F253" s="234">
        <f t="shared" si="171"/>
        <v>0.88420202750068322</v>
      </c>
      <c r="G253" s="234">
        <f t="shared" si="171"/>
        <v>8.5758643469860951E-2</v>
      </c>
      <c r="H253" s="234">
        <f t="shared" si="171"/>
        <v>5.1588828575257262E-2</v>
      </c>
      <c r="I253" s="234">
        <f t="shared" si="171"/>
        <v>2.1277816849045728E-3</v>
      </c>
      <c r="J253" s="234">
        <f t="shared" si="171"/>
        <v>6.617062438388821E-2</v>
      </c>
      <c r="K253" s="234">
        <f t="shared" si="171"/>
        <v>-3.5872164570970311E-3</v>
      </c>
      <c r="L253" s="234">
        <f t="shared" si="171"/>
        <v>-7.1760444536114187E-3</v>
      </c>
      <c r="M253" s="234">
        <f t="shared" si="171"/>
        <v>-6.835670371015401E-3</v>
      </c>
      <c r="N253" s="234">
        <f t="shared" si="171"/>
        <v>2.3324601555900326E-2</v>
      </c>
      <c r="O253" s="234">
        <f t="shared" si="171"/>
        <v>2.9524241773974946E-2</v>
      </c>
      <c r="P253" s="234">
        <f t="shared" si="171"/>
        <v>3.1385143472179022E-2</v>
      </c>
      <c r="Q253" s="235">
        <f t="shared" si="171"/>
        <v>4.933379083752687E-3</v>
      </c>
    </row>
    <row r="254" spans="2:17" hidden="1" outlineLevel="1" x14ac:dyDescent="0.25">
      <c r="B254" s="221" t="str">
        <f>+B232</f>
        <v>PASIVOS DEL COSTO MEDICO</v>
      </c>
      <c r="C254" s="214" t="s">
        <v>12</v>
      </c>
      <c r="D254" s="219"/>
      <c r="E254" s="209">
        <f t="shared" ref="E254:Q254" si="172">+E232/D232-1</f>
        <v>0.57265316110211439</v>
      </c>
      <c r="F254" s="209">
        <f t="shared" si="172"/>
        <v>0.88390797666500132</v>
      </c>
      <c r="G254" s="209">
        <f t="shared" si="172"/>
        <v>8.5567756343504442E-2</v>
      </c>
      <c r="H254" s="209">
        <f t="shared" si="172"/>
        <v>5.0490844625718623E-2</v>
      </c>
      <c r="I254" s="209">
        <f t="shared" si="172"/>
        <v>2.2242837031312135E-3</v>
      </c>
      <c r="J254" s="209">
        <f t="shared" si="172"/>
        <v>6.7172351085656778E-2</v>
      </c>
      <c r="K254" s="209">
        <f t="shared" si="172"/>
        <v>-4.2270613386182765E-3</v>
      </c>
      <c r="L254" s="209">
        <f t="shared" si="172"/>
        <v>-7.9186422468077167E-3</v>
      </c>
      <c r="M254" s="209">
        <f t="shared" si="172"/>
        <v>-7.6056771807816448E-3</v>
      </c>
      <c r="N254" s="209">
        <f t="shared" si="172"/>
        <v>2.3296284533076861E-2</v>
      </c>
      <c r="O254" s="209">
        <f t="shared" si="172"/>
        <v>2.964648556460836E-2</v>
      </c>
      <c r="P254" s="209">
        <f t="shared" si="172"/>
        <v>3.1545651556751819E-2</v>
      </c>
      <c r="Q254" s="210">
        <f t="shared" si="172"/>
        <v>4.5216126903440124E-3</v>
      </c>
    </row>
    <row r="255" spans="2:17" hidden="1" outlineLevel="1" x14ac:dyDescent="0.25">
      <c r="B255" s="222" t="str">
        <f>+B233</f>
        <v>PASIVOS OPERACIONALES</v>
      </c>
      <c r="C255" s="200" t="s">
        <v>12</v>
      </c>
      <c r="D255" s="237"/>
      <c r="E255" s="158">
        <f t="shared" ref="E255:Q255" si="173">+E233/D233-1</f>
        <v>-0.66271692941456695</v>
      </c>
      <c r="F255" s="158">
        <f t="shared" si="173"/>
        <v>0.89691097777336437</v>
      </c>
      <c r="G255" s="158">
        <f t="shared" si="173"/>
        <v>9.3952278921645371E-2</v>
      </c>
      <c r="H255" s="158">
        <f t="shared" si="173"/>
        <v>9.8357447686703292E-2</v>
      </c>
      <c r="I255" s="158">
        <f t="shared" si="173"/>
        <v>-1.8035847393753635E-3</v>
      </c>
      <c r="J255" s="158">
        <f t="shared" si="173"/>
        <v>2.5196913945102262E-2</v>
      </c>
      <c r="K255" s="158">
        <f t="shared" si="173"/>
        <v>2.3655977244857018E-2</v>
      </c>
      <c r="L255" s="158">
        <f t="shared" si="173"/>
        <v>2.3580905457883938E-2</v>
      </c>
      <c r="M255" s="158">
        <f t="shared" si="173"/>
        <v>2.4075061666100739E-2</v>
      </c>
      <c r="N255" s="158">
        <f t="shared" si="173"/>
        <v>2.4426178394409748E-2</v>
      </c>
      <c r="O255" s="158">
        <f t="shared" si="173"/>
        <v>2.4774010629084575E-2</v>
      </c>
      <c r="P255" s="158">
        <f t="shared" si="173"/>
        <v>2.5118357172869255E-2</v>
      </c>
      <c r="Q255" s="159">
        <f t="shared" si="173"/>
        <v>2.1110950051230759E-2</v>
      </c>
    </row>
    <row r="256" spans="2:17" hidden="1" outlineLevel="1" x14ac:dyDescent="0.25">
      <c r="B256" s="9"/>
      <c r="C256" s="9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</row>
    <row r="257" spans="2:17" s="16" customFormat="1" hidden="1" outlineLevel="1" x14ac:dyDescent="0.25">
      <c r="B257" s="207" t="str">
        <f>+B235</f>
        <v>PATRIMONIO</v>
      </c>
      <c r="C257" s="207" t="s">
        <v>12</v>
      </c>
      <c r="D257" s="236"/>
      <c r="E257" s="234">
        <f t="shared" ref="E257:Q257" si="174">+E235/D235-1</f>
        <v>0.70427050169785277</v>
      </c>
      <c r="F257" s="234">
        <f t="shared" si="174"/>
        <v>1.3271252448671089</v>
      </c>
      <c r="G257" s="234">
        <f t="shared" si="174"/>
        <v>5.7305345368900529E-2</v>
      </c>
      <c r="H257" s="234">
        <f t="shared" si="174"/>
        <v>-0.1743169899335113</v>
      </c>
      <c r="I257" s="234">
        <f t="shared" si="174"/>
        <v>-4.0761772418484443E-2</v>
      </c>
      <c r="J257" s="234">
        <f t="shared" si="174"/>
        <v>1.2753913783263959E-2</v>
      </c>
      <c r="K257" s="234">
        <f t="shared" si="174"/>
        <v>-7.7587855051668542E-2</v>
      </c>
      <c r="L257" s="234">
        <f t="shared" si="174"/>
        <v>-0.31158581603971347</v>
      </c>
      <c r="M257" s="234">
        <f t="shared" si="174"/>
        <v>-0.25018453026749665</v>
      </c>
      <c r="N257" s="234">
        <f t="shared" si="174"/>
        <v>-0.29727632691849915</v>
      </c>
      <c r="O257" s="234">
        <f t="shared" si="174"/>
        <v>-0.45863144408435597</v>
      </c>
      <c r="P257" s="234">
        <f t="shared" si="174"/>
        <v>-0.87585226851091358</v>
      </c>
      <c r="Q257" s="235">
        <f t="shared" si="174"/>
        <v>-6.7778652965278665</v>
      </c>
    </row>
    <row r="258" spans="2:17" hidden="1" outlineLevel="1" x14ac:dyDescent="0.25">
      <c r="B258" s="221" t="str">
        <f>+B236</f>
        <v>CAPITAL</v>
      </c>
      <c r="C258" s="214" t="s">
        <v>12</v>
      </c>
      <c r="D258" s="219"/>
      <c r="E258" s="209">
        <f t="shared" ref="E258:Q258" si="175">+E236/D236-1</f>
        <v>0</v>
      </c>
      <c r="F258" s="209">
        <f t="shared" si="175"/>
        <v>0</v>
      </c>
      <c r="G258" s="209">
        <f t="shared" si="175"/>
        <v>0</v>
      </c>
      <c r="H258" s="209">
        <f t="shared" si="175"/>
        <v>0</v>
      </c>
      <c r="I258" s="209">
        <f t="shared" si="175"/>
        <v>0</v>
      </c>
      <c r="J258" s="209">
        <f t="shared" si="175"/>
        <v>0</v>
      </c>
      <c r="K258" s="209">
        <f t="shared" si="175"/>
        <v>0.36651517372819242</v>
      </c>
      <c r="L258" s="209">
        <f t="shared" si="175"/>
        <v>1.1086078031684727</v>
      </c>
      <c r="M258" s="209">
        <f t="shared" si="175"/>
        <v>0.12719841256381126</v>
      </c>
      <c r="N258" s="209">
        <f t="shared" si="175"/>
        <v>0</v>
      </c>
      <c r="O258" s="209">
        <f t="shared" si="175"/>
        <v>0</v>
      </c>
      <c r="P258" s="209">
        <f t="shared" si="175"/>
        <v>0</v>
      </c>
      <c r="Q258" s="210">
        <f t="shared" si="175"/>
        <v>0</v>
      </c>
    </row>
    <row r="259" spans="2:17" hidden="1" outlineLevel="1" x14ac:dyDescent="0.25">
      <c r="B259" s="221" t="str">
        <f>+B241</f>
        <v>RESULTADOS ACUMULADOS</v>
      </c>
      <c r="C259" s="214" t="s">
        <v>12</v>
      </c>
      <c r="D259" s="219"/>
      <c r="E259" s="209">
        <f t="shared" ref="E259:Q259" si="176">+E241/D241-1</f>
        <v>0.76982119119883796</v>
      </c>
      <c r="F259" s="209">
        <f t="shared" si="176"/>
        <v>0.47492555075765397</v>
      </c>
      <c r="G259" s="209">
        <f t="shared" si="176"/>
        <v>1.0654853990785447</v>
      </c>
      <c r="H259" s="209">
        <f t="shared" si="176"/>
        <v>5.0309178645499886E-2</v>
      </c>
      <c r="I259" s="209">
        <f t="shared" si="176"/>
        <v>-0.15405474441666955</v>
      </c>
      <c r="J259" s="209">
        <f t="shared" si="176"/>
        <v>-3.5160861617733019E-2</v>
      </c>
      <c r="K259" s="209">
        <f t="shared" si="176"/>
        <v>1.0937586272516064E-2</v>
      </c>
      <c r="L259" s="209">
        <f t="shared" si="176"/>
        <v>-2.1450331030356207E-2</v>
      </c>
      <c r="M259" s="209">
        <f t="shared" si="176"/>
        <v>-6.1381160819047431E-2</v>
      </c>
      <c r="N259" s="209">
        <f t="shared" si="176"/>
        <v>-9.9380999977119355E-2</v>
      </c>
      <c r="O259" s="209">
        <f t="shared" si="176"/>
        <v>-0.14700560717109967</v>
      </c>
      <c r="P259" s="209">
        <f t="shared" si="176"/>
        <v>-0.18684255979129083</v>
      </c>
      <c r="Q259" s="210">
        <f t="shared" si="176"/>
        <v>-0.23755338759408429</v>
      </c>
    </row>
    <row r="260" spans="2:17" hidden="1" outlineLevel="1" x14ac:dyDescent="0.25">
      <c r="B260" s="221" t="str">
        <f>+B242</f>
        <v>RESULTADOS DEL EJERCICIO</v>
      </c>
      <c r="C260" s="214" t="s">
        <v>12</v>
      </c>
      <c r="D260" s="219"/>
      <c r="E260" s="209">
        <f t="shared" ref="E260:Q260" si="177">+E242/D242-1</f>
        <v>9.1855243246445228E-2</v>
      </c>
      <c r="F260" s="209">
        <f t="shared" si="177"/>
        <v>2.3089641872354751</v>
      </c>
      <c r="G260" s="209">
        <f t="shared" si="177"/>
        <v>-0.90247367629647446</v>
      </c>
      <c r="H260" s="209">
        <f t="shared" si="177"/>
        <v>-4.2162145443650152</v>
      </c>
      <c r="I260" s="209">
        <f t="shared" si="177"/>
        <v>-0.80692471250807718</v>
      </c>
      <c r="J260" s="209">
        <f t="shared" si="177"/>
        <v>-1.3001351738728091</v>
      </c>
      <c r="K260" s="209">
        <f t="shared" si="177"/>
        <v>-2.9826079846396061</v>
      </c>
      <c r="L260" s="209">
        <f t="shared" si="177"/>
        <v>1.800167256880508</v>
      </c>
      <c r="M260" s="209">
        <f t="shared" si="177"/>
        <v>0.5196988390323769</v>
      </c>
      <c r="N260" s="209">
        <f t="shared" si="177"/>
        <v>0.33220678961445271</v>
      </c>
      <c r="O260" s="209">
        <f t="shared" si="177"/>
        <v>8.4146781273944038E-2</v>
      </c>
      <c r="P260" s="209">
        <f t="shared" si="177"/>
        <v>3.3856016448758908E-2</v>
      </c>
      <c r="Q260" s="210">
        <f t="shared" si="177"/>
        <v>-3.9271083543407359E-2</v>
      </c>
    </row>
    <row r="261" spans="2:17" hidden="1" outlineLevel="1" x14ac:dyDescent="0.25">
      <c r="B261" s="222" t="str">
        <f>+B243</f>
        <v>IMPACTO TRANSITORIO</v>
      </c>
      <c r="C261" s="200" t="s">
        <v>12</v>
      </c>
      <c r="D261" s="237"/>
      <c r="E261" s="158"/>
      <c r="F261" s="158"/>
      <c r="G261" s="158">
        <f t="shared" ref="G261:Q261" si="178">+G243/F243-1</f>
        <v>0</v>
      </c>
      <c r="H261" s="158">
        <f t="shared" si="178"/>
        <v>0</v>
      </c>
      <c r="I261" s="158">
        <f t="shared" si="178"/>
        <v>0</v>
      </c>
      <c r="J261" s="158">
        <f t="shared" si="178"/>
        <v>0</v>
      </c>
      <c r="K261" s="158">
        <f t="shared" si="178"/>
        <v>0</v>
      </c>
      <c r="L261" s="158">
        <f t="shared" si="178"/>
        <v>0</v>
      </c>
      <c r="M261" s="158">
        <f t="shared" si="178"/>
        <v>0</v>
      </c>
      <c r="N261" s="158">
        <f t="shared" si="178"/>
        <v>0</v>
      </c>
      <c r="O261" s="158">
        <f t="shared" si="178"/>
        <v>0</v>
      </c>
      <c r="P261" s="158">
        <f t="shared" si="178"/>
        <v>0</v>
      </c>
      <c r="Q261" s="159">
        <f t="shared" si="178"/>
        <v>0</v>
      </c>
    </row>
    <row r="262" spans="2:17" collapsed="1" x14ac:dyDescent="0.25"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</row>
    <row r="263" spans="2:17" s="16" customFormat="1" x14ac:dyDescent="0.25">
      <c r="B263" s="17" t="s">
        <v>1124</v>
      </c>
      <c r="C263" s="17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</row>
    <row r="264" spans="2:17" hidden="1" outlineLevel="1" x14ac:dyDescent="0.25"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</row>
    <row r="265" spans="2:17" hidden="1" outlineLevel="1" x14ac:dyDescent="0.25">
      <c r="B265" t="s">
        <v>1114</v>
      </c>
      <c r="D265" s="112">
        <f>+D10-Base!D2</f>
        <v>0</v>
      </c>
      <c r="E265" s="112">
        <f>+E10-Base!E2</f>
        <v>0</v>
      </c>
      <c r="F265" s="112">
        <f>+F10-Base!F2</f>
        <v>0</v>
      </c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</row>
    <row r="266" spans="2:17" hidden="1" outlineLevel="1" x14ac:dyDescent="0.25">
      <c r="B266" t="s">
        <v>1115</v>
      </c>
      <c r="D266" s="112">
        <f>+D35-Base!D83</f>
        <v>0</v>
      </c>
      <c r="E266" s="112">
        <f>+E35-Base!E83</f>
        <v>0</v>
      </c>
      <c r="F266" s="112">
        <f>+F35-Base!F83</f>
        <v>0</v>
      </c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</row>
    <row r="267" spans="2:17" hidden="1" outlineLevel="1" x14ac:dyDescent="0.25">
      <c r="B267" t="s">
        <v>1116</v>
      </c>
      <c r="D267" s="112">
        <f>+D62+D104-Base!D196</f>
        <v>0</v>
      </c>
      <c r="E267" s="112">
        <f>+E62+E104-Base!E196</f>
        <v>0</v>
      </c>
      <c r="F267" s="112">
        <f>+F62+F104-Base!F196</f>
        <v>0</v>
      </c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</row>
    <row r="268" spans="2:17" hidden="1" outlineLevel="1" x14ac:dyDescent="0.25">
      <c r="B268" t="s">
        <v>1117</v>
      </c>
      <c r="D268" s="112">
        <f>+D71+D80+D108-Base!D226-Base!D359</f>
        <v>0</v>
      </c>
      <c r="E268" s="112">
        <f>+E71+E80+E108-Base!E226-Base!E359</f>
        <v>0</v>
      </c>
      <c r="F268" s="112">
        <f>+F71+F80+F108-Base!F226-Base!F359</f>
        <v>0</v>
      </c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</row>
    <row r="269" spans="2:17" hidden="1" outlineLevel="1" x14ac:dyDescent="0.25">
      <c r="B269" t="s">
        <v>1118</v>
      </c>
      <c r="D269" s="112">
        <f>+D1</f>
        <v>0</v>
      </c>
      <c r="E269" s="112">
        <f>+E1</f>
        <v>0</v>
      </c>
      <c r="F269" s="112">
        <f>+F1</f>
        <v>-0.19677734375</v>
      </c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</row>
    <row r="270" spans="2:17" collapsed="1" x14ac:dyDescent="0.25"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</row>
    <row r="271" spans="2:17" s="16" customFormat="1" x14ac:dyDescent="0.25">
      <c r="B271" s="17" t="s">
        <v>1128</v>
      </c>
      <c r="C271" s="17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</row>
    <row r="272" spans="2:17" hidden="1" outlineLevel="1" x14ac:dyDescent="0.25"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</row>
    <row r="273" spans="2:17" s="6" customFormat="1" hidden="1" outlineLevel="1" x14ac:dyDescent="0.25">
      <c r="B273" s="6" t="s">
        <v>1129</v>
      </c>
      <c r="E273" s="6">
        <v>6.7699999999999996E-2</v>
      </c>
      <c r="F273" s="6">
        <v>5.7500000000000002E-2</v>
      </c>
      <c r="G273" s="7">
        <v>3.5000000000000003E-2</v>
      </c>
      <c r="H273" s="7">
        <v>3.5000000000000003E-2</v>
      </c>
      <c r="I273" s="7">
        <v>5.3600000000000002E-2</v>
      </c>
      <c r="J273" s="7">
        <v>0.04</v>
      </c>
      <c r="K273" s="7">
        <v>0.03</v>
      </c>
      <c r="L273" s="7">
        <v>0.03</v>
      </c>
      <c r="M273" s="7">
        <v>0.03</v>
      </c>
      <c r="N273" s="7">
        <v>0.03</v>
      </c>
      <c r="O273" s="7">
        <v>0.03</v>
      </c>
      <c r="P273" s="7">
        <v>0.03</v>
      </c>
      <c r="Q273" s="7">
        <v>0.03</v>
      </c>
    </row>
    <row r="274" spans="2:17" s="6" customFormat="1" hidden="1" outlineLevel="1" x14ac:dyDescent="0.25">
      <c r="B274" s="6" t="s">
        <v>1456</v>
      </c>
      <c r="G274" s="6">
        <v>1</v>
      </c>
      <c r="H274" s="6">
        <f>+G274*(1+G273)</f>
        <v>1.0349999999999999</v>
      </c>
      <c r="I274" s="6">
        <f>+H274*(1+H273)</f>
        <v>1.0712249999999999</v>
      </c>
      <c r="J274" s="6">
        <f>+I274*(1+I273)</f>
        <v>1.1286426599999999</v>
      </c>
      <c r="K274" s="6">
        <f>+J274*(1+J273)</f>
        <v>1.1737883663999999</v>
      </c>
      <c r="L274" s="6">
        <f t="shared" ref="L274:Q274" si="179">+K274*(1+K273)</f>
        <v>1.209002017392</v>
      </c>
      <c r="M274" s="6">
        <f t="shared" si="179"/>
        <v>1.24527207791376</v>
      </c>
      <c r="N274" s="6">
        <f t="shared" si="179"/>
        <v>1.2826302402511729</v>
      </c>
      <c r="O274" s="6">
        <f t="shared" si="179"/>
        <v>1.3211091474587082</v>
      </c>
      <c r="P274" s="6">
        <f t="shared" si="179"/>
        <v>1.3607424218824695</v>
      </c>
      <c r="Q274" s="6">
        <f t="shared" si="179"/>
        <v>1.4015646945389437</v>
      </c>
    </row>
    <row r="275" spans="2:17" s="6" customFormat="1" hidden="1" outlineLevel="1" x14ac:dyDescent="0.25">
      <c r="B275" s="6" t="s">
        <v>1130</v>
      </c>
      <c r="G275" s="7">
        <v>4.4999999999999998E-2</v>
      </c>
      <c r="H275" s="7">
        <v>0.06</v>
      </c>
      <c r="I275" s="7">
        <v>0.06</v>
      </c>
      <c r="J275" s="7">
        <v>4.4999999999999998E-2</v>
      </c>
      <c r="K275" s="7">
        <v>0.04</v>
      </c>
      <c r="L275" s="7">
        <v>0.04</v>
      </c>
      <c r="M275" s="7">
        <v>0.04</v>
      </c>
      <c r="N275" s="7">
        <v>0.04</v>
      </c>
      <c r="O275" s="7">
        <v>0.04</v>
      </c>
      <c r="P275" s="7">
        <v>0.04</v>
      </c>
      <c r="Q275" s="7">
        <v>0.04</v>
      </c>
    </row>
    <row r="276" spans="2:17" s="6" customFormat="1" hidden="1" outlineLevel="1" x14ac:dyDescent="0.25">
      <c r="B276" s="6" t="s">
        <v>1164</v>
      </c>
      <c r="G276" s="7">
        <v>0.35</v>
      </c>
      <c r="H276" s="6">
        <f t="shared" ref="H276:Q276" si="180">+G276</f>
        <v>0.35</v>
      </c>
      <c r="I276" s="6">
        <f t="shared" si="180"/>
        <v>0.35</v>
      </c>
      <c r="J276" s="6">
        <f t="shared" si="180"/>
        <v>0.35</v>
      </c>
      <c r="K276" s="6">
        <f t="shared" si="180"/>
        <v>0.35</v>
      </c>
      <c r="L276" s="6">
        <f t="shared" si="180"/>
        <v>0.35</v>
      </c>
      <c r="M276" s="6">
        <f t="shared" si="180"/>
        <v>0.35</v>
      </c>
      <c r="N276" s="6">
        <f t="shared" si="180"/>
        <v>0.35</v>
      </c>
      <c r="O276" s="6">
        <f t="shared" si="180"/>
        <v>0.35</v>
      </c>
      <c r="P276" s="6">
        <f t="shared" si="180"/>
        <v>0.35</v>
      </c>
      <c r="Q276" s="6">
        <f t="shared" si="180"/>
        <v>0.35</v>
      </c>
    </row>
    <row r="277" spans="2:17" collapsed="1" x14ac:dyDescent="0.25"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</row>
    <row r="278" spans="2:17" s="16" customFormat="1" x14ac:dyDescent="0.25">
      <c r="B278" s="17" t="s">
        <v>1125</v>
      </c>
      <c r="C278" s="17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</row>
    <row r="279" spans="2:17" hidden="1" outlineLevel="1" x14ac:dyDescent="0.25"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</row>
    <row r="280" spans="2:17" s="6" customFormat="1" hidden="1" outlineLevel="1" x14ac:dyDescent="0.25">
      <c r="B280" s="117" t="s">
        <v>1079</v>
      </c>
      <c r="D280" s="6">
        <f>+D62/D$62</f>
        <v>1</v>
      </c>
      <c r="E280" s="6">
        <f>+E62/E$62</f>
        <v>1</v>
      </c>
      <c r="F280" s="6">
        <f>+F62/F$62</f>
        <v>1</v>
      </c>
      <c r="G280" s="6">
        <f>+G62/G$62</f>
        <v>1</v>
      </c>
      <c r="H280" s="6">
        <f t="shared" ref="H280:Q280" si="181">+H62/H$62</f>
        <v>1</v>
      </c>
      <c r="I280" s="6">
        <f t="shared" si="181"/>
        <v>1</v>
      </c>
      <c r="J280" s="6">
        <f t="shared" si="181"/>
        <v>1</v>
      </c>
      <c r="K280" s="6">
        <f t="shared" si="181"/>
        <v>1</v>
      </c>
      <c r="L280" s="6">
        <f t="shared" si="181"/>
        <v>1</v>
      </c>
      <c r="M280" s="6">
        <f t="shared" si="181"/>
        <v>1</v>
      </c>
      <c r="N280" s="6">
        <f t="shared" si="181"/>
        <v>1</v>
      </c>
      <c r="O280" s="6">
        <f t="shared" si="181"/>
        <v>1</v>
      </c>
      <c r="P280" s="6">
        <f t="shared" si="181"/>
        <v>1</v>
      </c>
      <c r="Q280" s="6">
        <f t="shared" si="181"/>
        <v>1</v>
      </c>
    </row>
    <row r="281" spans="2:17" s="6" customFormat="1" hidden="1" outlineLevel="1" x14ac:dyDescent="0.25">
      <c r="B281" s="118" t="s">
        <v>1076</v>
      </c>
      <c r="D281" s="6">
        <f t="shared" ref="D281:F287" si="182">+D63/D$62</f>
        <v>6.2960091358138818E-3</v>
      </c>
      <c r="E281" s="6">
        <f t="shared" si="182"/>
        <v>2.0179154038140093E-2</v>
      </c>
      <c r="F281" s="6">
        <f t="shared" si="182"/>
        <v>3.7051769761773969E-2</v>
      </c>
      <c r="G281" s="6">
        <f t="shared" ref="G281:Q286" si="183">+F281</f>
        <v>3.7051769761773969E-2</v>
      </c>
      <c r="H281" s="6">
        <f t="shared" si="183"/>
        <v>3.7051769761773969E-2</v>
      </c>
      <c r="I281" s="6">
        <f t="shared" si="183"/>
        <v>3.7051769761773969E-2</v>
      </c>
      <c r="J281" s="6">
        <f t="shared" si="183"/>
        <v>3.7051769761773969E-2</v>
      </c>
      <c r="K281" s="6">
        <f t="shared" si="183"/>
        <v>3.7051769761773969E-2</v>
      </c>
      <c r="L281" s="6">
        <f t="shared" si="183"/>
        <v>3.7051769761773969E-2</v>
      </c>
      <c r="M281" s="6">
        <f t="shared" si="183"/>
        <v>3.7051769761773969E-2</v>
      </c>
      <c r="N281" s="6">
        <f t="shared" si="183"/>
        <v>3.7051769761773969E-2</v>
      </c>
      <c r="O281" s="6">
        <f t="shared" si="183"/>
        <v>3.7051769761773969E-2</v>
      </c>
      <c r="P281" s="6">
        <f t="shared" si="183"/>
        <v>3.7051769761773969E-2</v>
      </c>
      <c r="Q281" s="6">
        <f t="shared" si="183"/>
        <v>3.7051769761773969E-2</v>
      </c>
    </row>
    <row r="282" spans="2:17" s="6" customFormat="1" hidden="1" outlineLevel="1" x14ac:dyDescent="0.25">
      <c r="B282" s="118" t="s">
        <v>1077</v>
      </c>
      <c r="D282" s="6">
        <f t="shared" si="182"/>
        <v>0.91369364209402137</v>
      </c>
      <c r="E282" s="6">
        <f t="shared" si="182"/>
        <v>0.90644808959643208</v>
      </c>
      <c r="F282" s="6">
        <f t="shared" si="182"/>
        <v>0.91037638316188629</v>
      </c>
      <c r="G282" s="6">
        <f t="shared" si="183"/>
        <v>0.91037638316188629</v>
      </c>
      <c r="H282" s="6">
        <f t="shared" si="183"/>
        <v>0.91037638316188629</v>
      </c>
      <c r="I282" s="6">
        <v>0.91900000000000004</v>
      </c>
      <c r="J282" s="6">
        <f t="shared" si="183"/>
        <v>0.91900000000000004</v>
      </c>
      <c r="K282" s="6">
        <f t="shared" si="183"/>
        <v>0.91900000000000004</v>
      </c>
      <c r="L282" s="6">
        <f t="shared" si="183"/>
        <v>0.91900000000000004</v>
      </c>
      <c r="M282" s="6">
        <f t="shared" si="183"/>
        <v>0.91900000000000004</v>
      </c>
      <c r="N282" s="6">
        <f t="shared" si="183"/>
        <v>0.91900000000000004</v>
      </c>
      <c r="O282" s="6">
        <f t="shared" si="183"/>
        <v>0.91900000000000004</v>
      </c>
      <c r="P282" s="6">
        <f t="shared" si="183"/>
        <v>0.91900000000000004</v>
      </c>
      <c r="Q282" s="6">
        <f t="shared" si="183"/>
        <v>0.91900000000000004</v>
      </c>
    </row>
    <row r="283" spans="2:17" s="6" customFormat="1" hidden="1" outlineLevel="1" x14ac:dyDescent="0.25">
      <c r="B283" s="118" t="s">
        <v>1074</v>
      </c>
      <c r="D283" s="6">
        <f t="shared" si="182"/>
        <v>0</v>
      </c>
      <c r="E283" s="6">
        <f t="shared" si="182"/>
        <v>0</v>
      </c>
      <c r="F283" s="6">
        <f t="shared" si="182"/>
        <v>1.5315640976877465E-4</v>
      </c>
      <c r="G283" s="6">
        <f t="shared" si="183"/>
        <v>1.5315640976877465E-4</v>
      </c>
      <c r="H283" s="6">
        <f t="shared" si="183"/>
        <v>1.5315640976877465E-4</v>
      </c>
      <c r="I283" s="6">
        <f t="shared" si="183"/>
        <v>1.5315640976877465E-4</v>
      </c>
      <c r="J283" s="6">
        <f t="shared" si="183"/>
        <v>1.5315640976877465E-4</v>
      </c>
      <c r="K283" s="6">
        <f t="shared" si="183"/>
        <v>1.5315640976877465E-4</v>
      </c>
      <c r="L283" s="6">
        <f t="shared" si="183"/>
        <v>1.5315640976877465E-4</v>
      </c>
      <c r="M283" s="6">
        <f t="shared" si="183"/>
        <v>1.5315640976877465E-4</v>
      </c>
      <c r="N283" s="6">
        <f t="shared" si="183"/>
        <v>1.5315640976877465E-4</v>
      </c>
      <c r="O283" s="6">
        <f t="shared" si="183"/>
        <v>1.5315640976877465E-4</v>
      </c>
      <c r="P283" s="6">
        <f t="shared" si="183"/>
        <v>1.5315640976877465E-4</v>
      </c>
      <c r="Q283" s="6">
        <f t="shared" si="183"/>
        <v>1.5315640976877465E-4</v>
      </c>
    </row>
    <row r="284" spans="2:17" s="6" customFormat="1" hidden="1" outlineLevel="1" x14ac:dyDescent="0.25">
      <c r="B284" s="118" t="s">
        <v>1075</v>
      </c>
      <c r="D284" s="6">
        <f t="shared" si="182"/>
        <v>3.1524053511500913E-3</v>
      </c>
      <c r="E284" s="6">
        <f t="shared" si="182"/>
        <v>2.3920370062639335E-3</v>
      </c>
      <c r="F284" s="6">
        <f t="shared" si="182"/>
        <v>2.3642980681472343E-3</v>
      </c>
      <c r="G284" s="6">
        <f t="shared" si="183"/>
        <v>2.3642980681472343E-3</v>
      </c>
      <c r="H284" s="6">
        <v>2.7299999999999998E-3</v>
      </c>
      <c r="I284" s="6">
        <f t="shared" si="183"/>
        <v>2.7299999999999998E-3</v>
      </c>
      <c r="J284" s="6">
        <f t="shared" si="183"/>
        <v>2.7299999999999998E-3</v>
      </c>
      <c r="K284" s="6">
        <f t="shared" si="183"/>
        <v>2.7299999999999998E-3</v>
      </c>
      <c r="L284" s="6">
        <f t="shared" si="183"/>
        <v>2.7299999999999998E-3</v>
      </c>
      <c r="M284" s="6">
        <f t="shared" si="183"/>
        <v>2.7299999999999998E-3</v>
      </c>
      <c r="N284" s="6">
        <f t="shared" si="183"/>
        <v>2.7299999999999998E-3</v>
      </c>
      <c r="O284" s="6">
        <f t="shared" si="183"/>
        <v>2.7299999999999998E-3</v>
      </c>
      <c r="P284" s="6">
        <f t="shared" si="183"/>
        <v>2.7299999999999998E-3</v>
      </c>
      <c r="Q284" s="6">
        <f t="shared" si="183"/>
        <v>2.7299999999999998E-3</v>
      </c>
    </row>
    <row r="285" spans="2:17" s="6" customFormat="1" hidden="1" outlineLevel="1" x14ac:dyDescent="0.25">
      <c r="B285" s="118" t="s">
        <v>389</v>
      </c>
      <c r="D285" s="6">
        <f t="shared" si="182"/>
        <v>4.49274506851064E-5</v>
      </c>
      <c r="E285" s="6">
        <f t="shared" si="182"/>
        <v>7.8453485826834982E-5</v>
      </c>
      <c r="F285" s="6">
        <f t="shared" si="182"/>
        <v>1.3671685917442695E-3</v>
      </c>
      <c r="G285" s="6">
        <v>3.0000000000000001E-3</v>
      </c>
      <c r="H285" s="6">
        <v>4.0000000000000001E-3</v>
      </c>
      <c r="I285" s="6">
        <v>3.0000000000000001E-3</v>
      </c>
      <c r="J285" s="6">
        <f t="shared" si="183"/>
        <v>3.0000000000000001E-3</v>
      </c>
      <c r="K285" s="6">
        <f t="shared" si="183"/>
        <v>3.0000000000000001E-3</v>
      </c>
      <c r="L285" s="6">
        <f t="shared" si="183"/>
        <v>3.0000000000000001E-3</v>
      </c>
      <c r="M285" s="6">
        <f t="shared" si="183"/>
        <v>3.0000000000000001E-3</v>
      </c>
      <c r="N285" s="6">
        <f t="shared" si="183"/>
        <v>3.0000000000000001E-3</v>
      </c>
      <c r="O285" s="6">
        <f t="shared" si="183"/>
        <v>3.0000000000000001E-3</v>
      </c>
      <c r="P285" s="6">
        <f t="shared" si="183"/>
        <v>3.0000000000000001E-3</v>
      </c>
      <c r="Q285" s="6">
        <f t="shared" si="183"/>
        <v>3.0000000000000001E-3</v>
      </c>
    </row>
    <row r="286" spans="2:17" s="6" customFormat="1" hidden="1" outlineLevel="1" x14ac:dyDescent="0.25">
      <c r="B286" s="118" t="s">
        <v>1626</v>
      </c>
      <c r="D286" s="6">
        <f t="shared" si="182"/>
        <v>5.4916572776519141E-3</v>
      </c>
      <c r="E286" s="6">
        <f t="shared" si="182"/>
        <v>6.5711100514017724E-3</v>
      </c>
      <c r="F286" s="6">
        <f t="shared" si="182"/>
        <v>5.9454867905159867E-3</v>
      </c>
      <c r="G286" s="6">
        <f t="shared" si="183"/>
        <v>5.9454867905159867E-3</v>
      </c>
      <c r="H286" s="6">
        <v>5.1000000000000004E-3</v>
      </c>
      <c r="I286" s="6">
        <v>5.1000000000000004E-3</v>
      </c>
      <c r="J286" s="6">
        <f t="shared" si="183"/>
        <v>5.1000000000000004E-3</v>
      </c>
      <c r="K286" s="6">
        <v>6.1999999999999998E-3</v>
      </c>
      <c r="L286" s="6">
        <f t="shared" si="183"/>
        <v>6.1999999999999998E-3</v>
      </c>
      <c r="M286" s="6">
        <f t="shared" si="183"/>
        <v>6.1999999999999998E-3</v>
      </c>
      <c r="N286" s="6">
        <f t="shared" si="183"/>
        <v>6.1999999999999998E-3</v>
      </c>
      <c r="O286" s="6">
        <f t="shared" si="183"/>
        <v>6.1999999999999998E-3</v>
      </c>
      <c r="P286" s="6">
        <f t="shared" si="183"/>
        <v>6.1999999999999998E-3</v>
      </c>
      <c r="Q286" s="6">
        <f t="shared" si="183"/>
        <v>6.1999999999999998E-3</v>
      </c>
    </row>
    <row r="287" spans="2:17" s="6" customFormat="1" hidden="1" outlineLevel="1" x14ac:dyDescent="0.25">
      <c r="B287" s="118" t="s">
        <v>1078</v>
      </c>
      <c r="D287" s="6">
        <f t="shared" si="182"/>
        <v>7.1321358690677669E-2</v>
      </c>
      <c r="E287" s="6">
        <f t="shared" si="182"/>
        <v>6.4331155821935243E-2</v>
      </c>
      <c r="F287" s="6">
        <f t="shared" si="182"/>
        <v>4.2741737216163436E-2</v>
      </c>
      <c r="G287" s="6">
        <f>+F287</f>
        <v>4.2741737216163436E-2</v>
      </c>
      <c r="H287" s="6">
        <v>3.3000000000000002E-2</v>
      </c>
      <c r="I287" s="6">
        <v>3.3000000000000002E-2</v>
      </c>
      <c r="J287" s="6">
        <v>3.3000000000000002E-2</v>
      </c>
      <c r="K287" s="6">
        <v>3.4000000000000002E-2</v>
      </c>
      <c r="L287" s="6">
        <v>3.3000000000000002E-2</v>
      </c>
      <c r="M287" s="6">
        <v>3.3000000000000002E-2</v>
      </c>
      <c r="N287" s="6">
        <v>3.3000000000000002E-2</v>
      </c>
      <c r="O287" s="6">
        <v>3.3000000000000002E-2</v>
      </c>
      <c r="P287" s="6">
        <v>3.3000000000000002E-2</v>
      </c>
      <c r="Q287" s="6">
        <v>3.3000000000000002E-2</v>
      </c>
    </row>
    <row r="288" spans="2:17" hidden="1" outlineLevel="1" x14ac:dyDescent="0.25"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</row>
    <row r="289" spans="2:17" s="16" customFormat="1" hidden="1" outlineLevel="1" x14ac:dyDescent="0.25">
      <c r="B289" s="117" t="s">
        <v>1079</v>
      </c>
      <c r="C289" s="9" t="s">
        <v>11</v>
      </c>
      <c r="D289" s="12">
        <f t="shared" ref="D289:F296" si="184">+D62</f>
        <v>1190425478954</v>
      </c>
      <c r="E289" s="12">
        <f t="shared" si="184"/>
        <v>1349953464576</v>
      </c>
      <c r="F289" s="12">
        <f t="shared" si="184"/>
        <v>1444415524848</v>
      </c>
      <c r="G289" s="12">
        <f>+(G290+G291)/SUM(F281:F282)</f>
        <v>1610193865669.2227</v>
      </c>
      <c r="H289" s="12">
        <f>+(H290+H291)/SUM(G281:G282)</f>
        <v>1735320500039.5149</v>
      </c>
      <c r="I289" s="12">
        <f>+(I290+I291)/SUM(H281:H282)</f>
        <v>1866996619582.5132</v>
      </c>
      <c r="J289" s="12">
        <f>+(J290+J291)/SUM(I281:I282)</f>
        <v>1915189243982.1003</v>
      </c>
      <c r="K289" s="12">
        <f t="shared" ref="K289:Q289" si="185">+(K290+K291)/SUM(J281:J282)</f>
        <v>1982508145908.071</v>
      </c>
      <c r="L289" s="12">
        <f t="shared" si="185"/>
        <v>2052193307236.7395</v>
      </c>
      <c r="M289" s="12">
        <f t="shared" si="185"/>
        <v>2124327901986.1104</v>
      </c>
      <c r="N289" s="12">
        <f t="shared" si="185"/>
        <v>2198998027740.9221</v>
      </c>
      <c r="O289" s="12">
        <f t="shared" si="185"/>
        <v>2276292808416.0151</v>
      </c>
      <c r="P289" s="12">
        <f t="shared" si="185"/>
        <v>2356304500631.8379</v>
      </c>
      <c r="Q289" s="12">
        <f t="shared" si="185"/>
        <v>2368086023134.9971</v>
      </c>
    </row>
    <row r="290" spans="2:17" hidden="1" outlineLevel="1" x14ac:dyDescent="0.25">
      <c r="B290" s="118" t="s">
        <v>1076</v>
      </c>
      <c r="C290" s="9" t="s">
        <v>11</v>
      </c>
      <c r="D290" s="9">
        <f t="shared" si="184"/>
        <v>7494929691</v>
      </c>
      <c r="E290" s="9">
        <f t="shared" si="184"/>
        <v>27240918906</v>
      </c>
      <c r="F290" s="9">
        <f t="shared" si="184"/>
        <v>53518151467</v>
      </c>
      <c r="G290" s="9">
        <v>72806000000</v>
      </c>
      <c r="H290" s="9">
        <f>IF('Panel de control'!$B$107=1,Comparación!D11,PRY!H330)</f>
        <v>86947638422</v>
      </c>
      <c r="I290" s="9">
        <f>IF('Panel de control'!$B$107=1,Comparación!E11,PRY!I330)</f>
        <v>91608031841.419205</v>
      </c>
      <c r="J290" s="9">
        <f>IF('Panel de control'!$B$107=1,Comparación!F11,PRY!J330)</f>
        <v>95272353115.075974</v>
      </c>
      <c r="K290" s="9">
        <f>IF('Panel de control'!$B$107=1,Comparación!G11,PRY!K330)</f>
        <v>98130523708.528259</v>
      </c>
      <c r="L290" s="9">
        <f>IF('Panel de control'!$B$107=1,Comparación!H11,PRY!L330)</f>
        <v>101074439419.7841</v>
      </c>
      <c r="M290" s="9">
        <f>IF('Panel de control'!$B$107=1,Comparación!I11,PRY!M330)</f>
        <v>104106672602.37762</v>
      </c>
      <c r="N290" s="9">
        <f>IF('Panel de control'!$B$107=1,Comparación!J11,PRY!N330)</f>
        <v>107229872780.44896</v>
      </c>
      <c r="O290" s="9">
        <f>IF('Panel de control'!$B$107=1,Comparación!K11,PRY!O330)</f>
        <v>110446768963.86243</v>
      </c>
      <c r="P290" s="9">
        <f>IF('Panel de control'!$B$107=1,Comparación!L11,PRY!P330)</f>
        <v>113760172032.77831</v>
      </c>
      <c r="Q290" s="9">
        <f>IF('Panel de control'!$B$107=1,Comparación!M11,PRY!Q330)</f>
        <v>117172977193.76166</v>
      </c>
    </row>
    <row r="291" spans="2:17" hidden="1" outlineLevel="1" x14ac:dyDescent="0.25">
      <c r="B291" s="118" t="s">
        <v>1077</v>
      </c>
      <c r="C291" s="9" t="s">
        <v>11</v>
      </c>
      <c r="D291" s="9">
        <f t="shared" si="184"/>
        <v>1087684191507</v>
      </c>
      <c r="E291" s="9">
        <f t="shared" si="184"/>
        <v>1223662739009</v>
      </c>
      <c r="F291" s="9">
        <f t="shared" si="184"/>
        <v>1314961781294</v>
      </c>
      <c r="G291" s="9">
        <v>1452737000000</v>
      </c>
      <c r="H291" s="9">
        <f>IF('Panel de control'!$B$107=1,Comparación!D10,PRY!H326-PRY!H330)</f>
        <v>1557143857661</v>
      </c>
      <c r="I291" s="9">
        <f>IF('Panel de control'!$B$107=1,Comparación!E10,PRY!I326-PRY!I330)</f>
        <v>1677237126964.3589</v>
      </c>
      <c r="J291" s="9">
        <f>IF('Panel de control'!$B$107=1,Comparación!F10,PRY!J326-PRY!J330)</f>
        <v>1735747713022.7251</v>
      </c>
      <c r="K291" s="9">
        <f>IF('Panel de control'!$B$107=1,Comparación!G10,PRY!K326-PRY!K330)</f>
        <v>1797249897754.0161</v>
      </c>
      <c r="L291" s="9">
        <f>IF('Panel de control'!$B$107=1,Comparación!H10,PRY!L326-PRY!L330)</f>
        <v>1860928603857.1685</v>
      </c>
      <c r="M291" s="9">
        <f>IF('Panel de control'!$B$107=1,Comparación!I10,PRY!M326-PRY!M330)</f>
        <v>1926860777645.7595</v>
      </c>
      <c r="N291" s="9">
        <f>IF('Panel de control'!$B$107=1,Comparación!J10,PRY!N326-PRY!N330)</f>
        <v>1995126083343.9102</v>
      </c>
      <c r="O291" s="9">
        <f>IF('Panel de control'!$B$107=1,Comparación!K10,PRY!O326-PRY!O330)</f>
        <v>2065806999018.2676</v>
      </c>
      <c r="P291" s="9">
        <f>IF('Panel de control'!$B$107=1,Comparación!L10,PRY!P326-PRY!P330)</f>
        <v>2138988915893.9233</v>
      </c>
      <c r="Q291" s="9">
        <f>IF('Panel de control'!$B$107=1,Comparación!M10,PRY!Q326-PRY!Q330)</f>
        <v>2146839856172.5732</v>
      </c>
    </row>
    <row r="292" spans="2:17" hidden="1" outlineLevel="1" x14ac:dyDescent="0.25">
      <c r="B292" s="118" t="s">
        <v>1074</v>
      </c>
      <c r="C292" s="9" t="s">
        <v>11</v>
      </c>
      <c r="D292" s="9">
        <f t="shared" si="184"/>
        <v>0</v>
      </c>
      <c r="E292" s="9">
        <f t="shared" si="184"/>
        <v>0</v>
      </c>
      <c r="F292" s="9">
        <f t="shared" si="184"/>
        <v>221221496</v>
      </c>
      <c r="G292" s="9">
        <f t="shared" ref="G292:M296" si="186">+G$289*G283</f>
        <v>246611511.49760276</v>
      </c>
      <c r="H292" s="9">
        <f t="shared" si="186"/>
        <v>265775457.58420688</v>
      </c>
      <c r="I292" s="9">
        <f t="shared" si="186"/>
        <v>285942499.30569649</v>
      </c>
      <c r="J292" s="9">
        <f t="shared" si="186"/>
        <v>293323508.63607228</v>
      </c>
      <c r="K292" s="9">
        <f t="shared" si="186"/>
        <v>303633829.96463025</v>
      </c>
      <c r="L292" s="9">
        <f t="shared" si="186"/>
        <v>314306559.08788693</v>
      </c>
      <c r="M292" s="9">
        <f t="shared" si="186"/>
        <v>325354434.63982606</v>
      </c>
      <c r="N292" s="9">
        <f t="shared" ref="N292:Q296" si="187">+N$289*N283</f>
        <v>336790643.01741594</v>
      </c>
      <c r="O292" s="9">
        <f t="shared" si="187"/>
        <v>348628834.11947805</v>
      </c>
      <c r="P292" s="9">
        <f t="shared" si="187"/>
        <v>360883137.63877767</v>
      </c>
      <c r="Q292" s="9">
        <f t="shared" si="187"/>
        <v>362687553.32697159</v>
      </c>
    </row>
    <row r="293" spans="2:17" hidden="1" outlineLevel="1" x14ac:dyDescent="0.25">
      <c r="B293" s="118" t="s">
        <v>1075</v>
      </c>
      <c r="C293" s="9" t="s">
        <v>11</v>
      </c>
      <c r="D293" s="9">
        <f t="shared" si="184"/>
        <v>3752703650</v>
      </c>
      <c r="E293" s="9">
        <f t="shared" si="184"/>
        <v>3229138644</v>
      </c>
      <c r="F293" s="9">
        <f t="shared" si="184"/>
        <v>3415028835</v>
      </c>
      <c r="G293" s="9">
        <f t="shared" si="186"/>
        <v>3806978245.9442706</v>
      </c>
      <c r="H293" s="9">
        <f t="shared" si="186"/>
        <v>4737424965.1078749</v>
      </c>
      <c r="I293" s="9">
        <f t="shared" si="186"/>
        <v>5096900771.4602604</v>
      </c>
      <c r="J293" s="9">
        <f t="shared" si="186"/>
        <v>5228466636.0711336</v>
      </c>
      <c r="K293" s="9">
        <f t="shared" si="186"/>
        <v>5412247238.3290339</v>
      </c>
      <c r="L293" s="9">
        <f t="shared" si="186"/>
        <v>5602487728.7562981</v>
      </c>
      <c r="M293" s="9">
        <f t="shared" si="186"/>
        <v>5799415172.422081</v>
      </c>
      <c r="N293" s="9">
        <f t="shared" si="187"/>
        <v>6003264615.7327166</v>
      </c>
      <c r="O293" s="9">
        <f t="shared" si="187"/>
        <v>6214279366.9757204</v>
      </c>
      <c r="P293" s="9">
        <f t="shared" si="187"/>
        <v>6432711286.7249174</v>
      </c>
      <c r="Q293" s="9">
        <f t="shared" si="187"/>
        <v>6464874843.1585417</v>
      </c>
    </row>
    <row r="294" spans="2:17" hidden="1" outlineLevel="1" x14ac:dyDescent="0.25">
      <c r="B294" s="118" t="s">
        <v>389</v>
      </c>
      <c r="C294" s="9" t="s">
        <v>11</v>
      </c>
      <c r="D294" s="9">
        <f t="shared" si="184"/>
        <v>53482782</v>
      </c>
      <c r="E294" s="9">
        <f t="shared" si="184"/>
        <v>105908555</v>
      </c>
      <c r="F294" s="9">
        <f t="shared" si="184"/>
        <v>1974759539</v>
      </c>
      <c r="G294" s="9">
        <f t="shared" si="186"/>
        <v>4830581597.0076685</v>
      </c>
      <c r="H294" s="9">
        <f t="shared" si="186"/>
        <v>6941282000.1580601</v>
      </c>
      <c r="I294" s="9">
        <f t="shared" si="186"/>
        <v>5600989858.7475395</v>
      </c>
      <c r="J294" s="9">
        <f t="shared" si="186"/>
        <v>5745567731.9463015</v>
      </c>
      <c r="K294" s="9">
        <f t="shared" si="186"/>
        <v>5947524437.7242136</v>
      </c>
      <c r="L294" s="9">
        <f t="shared" si="186"/>
        <v>6156579921.7102184</v>
      </c>
      <c r="M294" s="9">
        <f t="shared" si="186"/>
        <v>6372983705.9583311</v>
      </c>
      <c r="N294" s="9">
        <f t="shared" si="187"/>
        <v>6596994083.2227669</v>
      </c>
      <c r="O294" s="9">
        <f t="shared" si="187"/>
        <v>6828878425.2480459</v>
      </c>
      <c r="P294" s="9">
        <f t="shared" si="187"/>
        <v>7068913501.8955135</v>
      </c>
      <c r="Q294" s="9">
        <f t="shared" si="187"/>
        <v>7104258069.4049911</v>
      </c>
    </row>
    <row r="295" spans="2:17" hidden="1" outlineLevel="1" x14ac:dyDescent="0.25">
      <c r="B295" s="118" t="s">
        <v>1688</v>
      </c>
      <c r="C295" s="9" t="s">
        <v>11</v>
      </c>
      <c r="D295" s="9">
        <f t="shared" si="184"/>
        <v>6537408745</v>
      </c>
      <c r="E295" s="9">
        <f t="shared" si="184"/>
        <v>8870692780</v>
      </c>
      <c r="F295" s="9">
        <f t="shared" si="184"/>
        <v>8587753423</v>
      </c>
      <c r="G295" s="9">
        <f>+(G$289*G286)+2645000000</f>
        <v>12218386358.506237</v>
      </c>
      <c r="H295" s="9">
        <f>(H$289*H286)+642000000</f>
        <v>9492134550.2015266</v>
      </c>
      <c r="I295" s="9">
        <f t="shared" si="186"/>
        <v>9521682759.8708172</v>
      </c>
      <c r="J295" s="9">
        <f t="shared" si="186"/>
        <v>9767465144.308712</v>
      </c>
      <c r="K295" s="9">
        <f t="shared" si="186"/>
        <v>12291550504.630039</v>
      </c>
      <c r="L295" s="9">
        <f t="shared" si="186"/>
        <v>12723598504.867785</v>
      </c>
      <c r="M295" s="9">
        <f t="shared" si="186"/>
        <v>13170832992.313883</v>
      </c>
      <c r="N295" s="9">
        <f t="shared" si="187"/>
        <v>13633787771.993717</v>
      </c>
      <c r="O295" s="9">
        <f t="shared" si="187"/>
        <v>14113015412.179293</v>
      </c>
      <c r="P295" s="9">
        <f t="shared" si="187"/>
        <v>14609087903.917395</v>
      </c>
      <c r="Q295" s="9">
        <f t="shared" si="187"/>
        <v>14682133343.436981</v>
      </c>
    </row>
    <row r="296" spans="2:17" hidden="1" outlineLevel="1" x14ac:dyDescent="0.25">
      <c r="B296" s="118" t="s">
        <v>1078</v>
      </c>
      <c r="C296" s="9" t="s">
        <v>11</v>
      </c>
      <c r="D296" s="9">
        <f t="shared" si="184"/>
        <v>84902762579</v>
      </c>
      <c r="E296" s="9">
        <f t="shared" si="184"/>
        <v>86844066682</v>
      </c>
      <c r="F296" s="9">
        <f t="shared" si="184"/>
        <v>61736828794</v>
      </c>
      <c r="G296" s="9">
        <v>51772000000</v>
      </c>
      <c r="H296" s="9">
        <f t="shared" si="186"/>
        <v>57265576501.303993</v>
      </c>
      <c r="I296" s="9">
        <f t="shared" si="186"/>
        <v>61610888446.222939</v>
      </c>
      <c r="J296" s="9">
        <f t="shared" si="186"/>
        <v>63201245051.409317</v>
      </c>
      <c r="K296" s="9">
        <f t="shared" si="186"/>
        <v>67405276960.87442</v>
      </c>
      <c r="L296" s="9">
        <f t="shared" si="186"/>
        <v>67722379138.812408</v>
      </c>
      <c r="M296" s="9">
        <f t="shared" si="186"/>
        <v>70102820765.541641</v>
      </c>
      <c r="N296" s="9">
        <f t="shared" si="187"/>
        <v>72566934915.450439</v>
      </c>
      <c r="O296" s="9">
        <f t="shared" si="187"/>
        <v>75117662677.7285</v>
      </c>
      <c r="P296" s="9">
        <f t="shared" si="187"/>
        <v>77758048520.850647</v>
      </c>
      <c r="Q296" s="9">
        <f t="shared" si="187"/>
        <v>78146838763.45491</v>
      </c>
    </row>
    <row r="297" spans="2:17" hidden="1" outlineLevel="1" x14ac:dyDescent="0.25"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</row>
    <row r="298" spans="2:17" hidden="1" outlineLevel="1" x14ac:dyDescent="0.25">
      <c r="B298" s="4" t="s">
        <v>1501</v>
      </c>
      <c r="C298" s="1" t="s">
        <v>1344</v>
      </c>
      <c r="F298" s="279">
        <f>+'Panel de control'!C93</f>
        <v>1692712.85</v>
      </c>
      <c r="G298" s="1">
        <f>IF('Panel de control'!$B$107=1,Comparación!C19,ROUND(F298*(1+F299),0))</f>
        <v>1705275.4461735599</v>
      </c>
      <c r="H298" s="1">
        <f>IF('Panel de control'!$B$107=1,Comparación!D19,ROUND(G298*(1+G299),0))</f>
        <v>1666224</v>
      </c>
      <c r="I298" s="1">
        <f>IF('Panel de control'!$B$107=1,Comparación!E19,ROUND(H298*(1+H299),0))</f>
        <v>1697716.8329999999</v>
      </c>
      <c r="J298" s="1">
        <f>IF('Panel de control'!$B$107=1,Comparación!F19,ROUND(I298*(1+I299),0))</f>
        <v>1695484.1071649997</v>
      </c>
      <c r="K298" s="1">
        <f>IF('Panel de control'!$B$107=1,Comparación!G19,ROUND(J298*(1+J299),0))</f>
        <v>1713691.2177008246</v>
      </c>
      <c r="L298" s="1">
        <f>IF('Panel de control'!$B$107=1,Comparación!H19,ROUND(K298*(1+K299),0))</f>
        <v>1731938.3637893286</v>
      </c>
      <c r="M298" s="1">
        <f>IF('Panel de control'!$B$107=1,Comparación!I19,ROUND(L298*(1+L299),0))</f>
        <v>1740598.0556082751</v>
      </c>
      <c r="N298" s="1">
        <f>IF('Panel de control'!$B$107=1,Comparación!J19,ROUND(M298*(1+M299),0))</f>
        <v>1749301.0458863161</v>
      </c>
      <c r="O298" s="1">
        <f>IF('Panel de control'!$B$107=1,Comparación!K19,ROUND(N298*(1+N299),0))</f>
        <v>1758047.5511157475</v>
      </c>
      <c r="P298" s="1">
        <f>IF('Panel de control'!$B$107=1,Comparación!L19,ROUND(O298*(1+O299),0))</f>
        <v>1766837.788871326</v>
      </c>
      <c r="Q298" s="1">
        <f>IF('Panel de control'!$B$107=1,Comparación!M19,ROUND(P298*(1+P299),0))</f>
        <v>1775671.9778156825</v>
      </c>
    </row>
    <row r="299" spans="2:17" hidden="1" outlineLevel="1" x14ac:dyDescent="0.25">
      <c r="B299" s="4"/>
      <c r="C299" s="1"/>
      <c r="F299" s="489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</row>
    <row r="300" spans="2:17" hidden="1" outlineLevel="1" x14ac:dyDescent="0.25">
      <c r="B300" s="298" t="s">
        <v>1502</v>
      </c>
      <c r="C300" s="1" t="s">
        <v>1344</v>
      </c>
      <c r="F300" s="1">
        <f>+F$298*F309</f>
        <v>644465.75</v>
      </c>
      <c r="G300" s="1">
        <f>IF('Panel de control'!$B$107=1,G298-G301-G302-G303-G304,G$298*G309)</f>
        <v>647039.83988352073</v>
      </c>
      <c r="H300" s="1">
        <f>IF('Panel de control'!$B$107=1,H298-H301-H302-H303-H304,H$298*H309)</f>
        <v>621154.27154966083</v>
      </c>
      <c r="I300" s="1">
        <f>IF('Panel de control'!$B$107=1,I298-I301-I302-I303-I304,I$298*I309)</f>
        <v>656922.32404211059</v>
      </c>
      <c r="J300" s="1">
        <f>IF('Panel de control'!$B$107=1,J298-J301-J302-J303-J304,J$298*J309)</f>
        <v>666121.26434095728</v>
      </c>
      <c r="K300" s="1">
        <f>IF('Panel de control'!$B$107=1,K298-K301-K302-K303-K304,K$298*K309)</f>
        <v>664084.56157438457</v>
      </c>
      <c r="L300" s="1">
        <f>IF('Panel de control'!$B$107=1,L298-L301-L302-L303-L304,L$298*L309)</f>
        <v>662065.80905399635</v>
      </c>
      <c r="M300" s="1">
        <f>IF('Panel de control'!$B$107=1,M298-M301-M302-M303-M304,M$298*M309)</f>
        <v>665376.13809926645</v>
      </c>
      <c r="N300" s="1">
        <f>IF('Panel de control'!$B$107=1,N298-N301-N302-N303-N304,N$298*N309)</f>
        <v>668703.0187897624</v>
      </c>
      <c r="O300" s="1">
        <f>IF('Panel de control'!$B$107=1,O298-O301-O302-O303-O304,O$298*O309)</f>
        <v>672046.53388371121</v>
      </c>
      <c r="P300" s="1">
        <f>IF('Panel de control'!$B$107=1,P298-P301-P302-P303-P304,P$298*P309)</f>
        <v>675406.76655312965</v>
      </c>
      <c r="Q300" s="1">
        <f>IF('Panel de control'!$B$107=1,Q298-Q301-Q302-Q303-Q304,Q$298*Q309)</f>
        <v>678783.8003858953</v>
      </c>
    </row>
    <row r="301" spans="2:17" hidden="1" outlineLevel="1" x14ac:dyDescent="0.25">
      <c r="B301" s="298" t="s">
        <v>1503</v>
      </c>
      <c r="C301" s="1" t="s">
        <v>1344</v>
      </c>
      <c r="F301" s="1">
        <f t="shared" ref="F301:Q301" si="188">+F$298*F310</f>
        <v>281509.7</v>
      </c>
      <c r="G301" s="1">
        <f t="shared" si="188"/>
        <v>283598.94548545842</v>
      </c>
      <c r="H301" s="1">
        <f t="shared" si="188"/>
        <v>277104.42345422023</v>
      </c>
      <c r="I301" s="1">
        <f t="shared" si="188"/>
        <v>282341.89652591106</v>
      </c>
      <c r="J301" s="1">
        <f t="shared" si="188"/>
        <v>281970.57898082765</v>
      </c>
      <c r="K301" s="1">
        <f t="shared" si="188"/>
        <v>284998.54572947434</v>
      </c>
      <c r="L301" s="1">
        <f t="shared" si="188"/>
        <v>288033.17066378077</v>
      </c>
      <c r="M301" s="1">
        <f t="shared" si="188"/>
        <v>289473.33651709964</v>
      </c>
      <c r="N301" s="1">
        <f t="shared" si="188"/>
        <v>290920.70319968509</v>
      </c>
      <c r="O301" s="1">
        <f t="shared" si="188"/>
        <v>292375.30671568349</v>
      </c>
      <c r="P301" s="1">
        <f t="shared" si="188"/>
        <v>293837.18324926187</v>
      </c>
      <c r="Q301" s="1">
        <f t="shared" si="188"/>
        <v>295306.36916550813</v>
      </c>
    </row>
    <row r="302" spans="2:17" hidden="1" outlineLevel="1" x14ac:dyDescent="0.25">
      <c r="B302" s="298" t="s">
        <v>1504</v>
      </c>
      <c r="C302" s="1" t="s">
        <v>1344</v>
      </c>
      <c r="F302" s="1">
        <f t="shared" ref="F302:Q302" si="189">+F$298*F311</f>
        <v>110045.15</v>
      </c>
      <c r="G302" s="1">
        <f t="shared" si="189"/>
        <v>110861.85838636855</v>
      </c>
      <c r="H302" s="1">
        <f t="shared" si="189"/>
        <v>108323.08032257213</v>
      </c>
      <c r="I302" s="1">
        <f t="shared" si="189"/>
        <v>110370.46451500023</v>
      </c>
      <c r="J302" s="1">
        <f t="shared" si="189"/>
        <v>110225.31251865221</v>
      </c>
      <c r="K302" s="1">
        <f t="shared" si="189"/>
        <v>111408.97707816768</v>
      </c>
      <c r="L302" s="1">
        <f t="shared" si="189"/>
        <v>112595.2443936083</v>
      </c>
      <c r="M302" s="1">
        <f t="shared" si="189"/>
        <v>113158.22061557633</v>
      </c>
      <c r="N302" s="1">
        <f t="shared" si="189"/>
        <v>113724.01171865419</v>
      </c>
      <c r="O302" s="1">
        <f t="shared" si="189"/>
        <v>114292.63177724744</v>
      </c>
      <c r="P302" s="1">
        <f t="shared" si="189"/>
        <v>114864.09493613367</v>
      </c>
      <c r="Q302" s="1">
        <f t="shared" si="189"/>
        <v>115438.41541081433</v>
      </c>
    </row>
    <row r="303" spans="2:17" hidden="1" outlineLevel="1" x14ac:dyDescent="0.25">
      <c r="B303" s="298" t="s">
        <v>1505</v>
      </c>
      <c r="C303" s="1" t="s">
        <v>1344</v>
      </c>
      <c r="F303" s="1">
        <f>+F$298*F312</f>
        <v>114475</v>
      </c>
      <c r="G303" s="1">
        <f>IF('Panel de control'!$B$107=1,Comparación!C21,G$298*G312)</f>
        <v>117533.44617355987</v>
      </c>
      <c r="H303" s="1">
        <f>IF('Panel de control'!$B$107=1,Comparación!D21,H$298*H312)</f>
        <v>125910</v>
      </c>
      <c r="I303" s="1">
        <f>IF('Panel de control'!$B$107=1,Comparación!E21,I$298*I312)</f>
        <v>104262</v>
      </c>
      <c r="J303" s="1">
        <f>IF('Panel de control'!$B$107=1,Comparación!F21,J$298*J312)</f>
        <v>94062</v>
      </c>
      <c r="K303" s="1">
        <f>IF('Panel de control'!$B$107=1,Comparación!G21,K$298*K312)</f>
        <v>104262</v>
      </c>
      <c r="L303" s="1">
        <f>IF('Panel de control'!$B$107=1,Comparación!H21,L$298*L312)</f>
        <v>114462</v>
      </c>
      <c r="M303" s="1">
        <f>IF('Panel de control'!$B$107=1,Comparación!I21,M$298*M312)</f>
        <v>115034.30999999998</v>
      </c>
      <c r="N303" s="1">
        <f>IF('Panel de control'!$B$107=1,Comparación!J21,N$298*N312)</f>
        <v>115609.48154999997</v>
      </c>
      <c r="O303" s="1">
        <f>IF('Panel de control'!$B$107=1,Comparación!K21,O$298*O312)</f>
        <v>116187.52895774995</v>
      </c>
      <c r="P303" s="1">
        <f>IF('Panel de control'!$B$107=1,Comparación!L21,P$298*P312)</f>
        <v>116768.46660253868</v>
      </c>
      <c r="Q303" s="1">
        <f>IF('Panel de control'!$B$107=1,Comparación!M21,Q$298*Q312)</f>
        <v>117352.30893555137</v>
      </c>
    </row>
    <row r="304" spans="2:17" hidden="1" outlineLevel="1" x14ac:dyDescent="0.25">
      <c r="B304" s="298" t="s">
        <v>1506</v>
      </c>
      <c r="C304" s="1" t="s">
        <v>1344</v>
      </c>
      <c r="F304" s="1">
        <f t="shared" ref="F304:Q304" si="190">+F$298*F313</f>
        <v>542217.25</v>
      </c>
      <c r="G304" s="1">
        <f t="shared" si="190"/>
        <v>546241.3562446523</v>
      </c>
      <c r="H304" s="1">
        <f t="shared" si="190"/>
        <v>533732.22467354697</v>
      </c>
      <c r="I304" s="1">
        <f t="shared" si="190"/>
        <v>543820.14791697788</v>
      </c>
      <c r="J304" s="1">
        <f t="shared" si="190"/>
        <v>543104.95132456243</v>
      </c>
      <c r="K304" s="1">
        <f t="shared" si="190"/>
        <v>548937.13331879792</v>
      </c>
      <c r="L304" s="1">
        <f t="shared" si="190"/>
        <v>554782.1396779432</v>
      </c>
      <c r="M304" s="1">
        <f t="shared" si="190"/>
        <v>557556.05037633283</v>
      </c>
      <c r="N304" s="1">
        <f t="shared" si="190"/>
        <v>560343.8306282144</v>
      </c>
      <c r="O304" s="1">
        <f t="shared" si="190"/>
        <v>563145.54978135542</v>
      </c>
      <c r="P304" s="1">
        <f t="shared" si="190"/>
        <v>565961.27753026213</v>
      </c>
      <c r="Q304" s="1">
        <f t="shared" si="190"/>
        <v>568791.08391791338</v>
      </c>
    </row>
    <row r="305" spans="2:17" hidden="1" outlineLevel="1" x14ac:dyDescent="0.25">
      <c r="B305" s="298"/>
      <c r="C305" s="1"/>
    </row>
    <row r="306" spans="2:17" s="387" customFormat="1" hidden="1" outlineLevel="1" x14ac:dyDescent="0.25">
      <c r="B306" s="388" t="s">
        <v>849</v>
      </c>
      <c r="C306" s="389"/>
      <c r="D306" s="389"/>
      <c r="E306" s="389"/>
      <c r="F306" s="389">
        <f>F298-SUM(F300:F304)</f>
        <v>0</v>
      </c>
      <c r="G306" s="389">
        <f t="shared" ref="G306:Q306" si="191">G298-SUM(G300:G304)</f>
        <v>0</v>
      </c>
      <c r="H306" s="389">
        <f t="shared" si="191"/>
        <v>0</v>
      </c>
      <c r="I306" s="389">
        <f t="shared" si="191"/>
        <v>0</v>
      </c>
      <c r="J306" s="389">
        <f t="shared" si="191"/>
        <v>0</v>
      </c>
      <c r="K306" s="389">
        <f t="shared" si="191"/>
        <v>0</v>
      </c>
      <c r="L306" s="389">
        <f t="shared" si="191"/>
        <v>0</v>
      </c>
      <c r="M306" s="389">
        <f t="shared" si="191"/>
        <v>0</v>
      </c>
      <c r="N306" s="389">
        <f t="shared" si="191"/>
        <v>0</v>
      </c>
      <c r="O306" s="389">
        <f t="shared" si="191"/>
        <v>0</v>
      </c>
      <c r="P306" s="389">
        <f t="shared" si="191"/>
        <v>0</v>
      </c>
      <c r="Q306" s="389">
        <f t="shared" si="191"/>
        <v>0</v>
      </c>
    </row>
    <row r="307" spans="2:17" hidden="1" outlineLevel="1" x14ac:dyDescent="0.25">
      <c r="B307" s="298"/>
      <c r="C307" s="1"/>
    </row>
    <row r="308" spans="2:17" ht="15.75" hidden="1" outlineLevel="1" thickBot="1" x14ac:dyDescent="0.3">
      <c r="B308" s="4" t="s">
        <v>1507</v>
      </c>
      <c r="C308" s="1"/>
    </row>
    <row r="309" spans="2:17" ht="15.75" hidden="1" outlineLevel="1" thickBot="1" x14ac:dyDescent="0.3">
      <c r="B309" s="298" t="s">
        <v>1502</v>
      </c>
      <c r="C309" s="1" t="s">
        <v>12</v>
      </c>
      <c r="F309" s="297">
        <f>+'Panel de control'!C95</f>
        <v>0.38072951948110983</v>
      </c>
      <c r="G309" s="8">
        <f t="shared" ref="G309:Q309" si="192">+F309</f>
        <v>0.38072951948110983</v>
      </c>
      <c r="H309" s="8">
        <f t="shared" si="192"/>
        <v>0.38072951948110983</v>
      </c>
      <c r="I309" s="8">
        <f t="shared" si="192"/>
        <v>0.38072951948110983</v>
      </c>
      <c r="J309" s="8">
        <f t="shared" si="192"/>
        <v>0.38072951948110983</v>
      </c>
      <c r="K309" s="8">
        <f t="shared" si="192"/>
        <v>0.38072951948110983</v>
      </c>
      <c r="L309" s="8">
        <f t="shared" si="192"/>
        <v>0.38072951948110983</v>
      </c>
      <c r="M309" s="8">
        <f t="shared" si="192"/>
        <v>0.38072951948110983</v>
      </c>
      <c r="N309" s="8">
        <f t="shared" si="192"/>
        <v>0.38072951948110983</v>
      </c>
      <c r="O309" s="8">
        <f t="shared" si="192"/>
        <v>0.38072951948110983</v>
      </c>
      <c r="P309" s="8">
        <f t="shared" si="192"/>
        <v>0.38072951948110983</v>
      </c>
      <c r="Q309" s="8">
        <f t="shared" si="192"/>
        <v>0.38072951948110983</v>
      </c>
    </row>
    <row r="310" spans="2:17" ht="15.75" hidden="1" outlineLevel="1" thickBot="1" x14ac:dyDescent="0.3">
      <c r="B310" s="298" t="s">
        <v>1503</v>
      </c>
      <c r="C310" s="1" t="s">
        <v>12</v>
      </c>
      <c r="F310" s="297">
        <f>+'Panel de control'!C96</f>
        <v>0.16630682516529605</v>
      </c>
      <c r="G310" s="8">
        <f t="shared" ref="G310:Q310" si="193">+F310</f>
        <v>0.16630682516529605</v>
      </c>
      <c r="H310" s="8">
        <f t="shared" si="193"/>
        <v>0.16630682516529605</v>
      </c>
      <c r="I310" s="8">
        <f t="shared" si="193"/>
        <v>0.16630682516529605</v>
      </c>
      <c r="J310" s="8">
        <f t="shared" si="193"/>
        <v>0.16630682516529605</v>
      </c>
      <c r="K310" s="8">
        <f t="shared" si="193"/>
        <v>0.16630682516529605</v>
      </c>
      <c r="L310" s="8">
        <f t="shared" si="193"/>
        <v>0.16630682516529605</v>
      </c>
      <c r="M310" s="8">
        <f t="shared" si="193"/>
        <v>0.16630682516529605</v>
      </c>
      <c r="N310" s="8">
        <f t="shared" si="193"/>
        <v>0.16630682516529605</v>
      </c>
      <c r="O310" s="8">
        <f t="shared" si="193"/>
        <v>0.16630682516529605</v>
      </c>
      <c r="P310" s="8">
        <f t="shared" si="193"/>
        <v>0.16630682516529605</v>
      </c>
      <c r="Q310" s="8">
        <f t="shared" si="193"/>
        <v>0.16630682516529605</v>
      </c>
    </row>
    <row r="311" spans="2:17" ht="15.75" hidden="1" outlineLevel="1" thickBot="1" x14ac:dyDescent="0.3">
      <c r="B311" s="298" t="s">
        <v>1504</v>
      </c>
      <c r="C311" s="1" t="s">
        <v>12</v>
      </c>
      <c r="F311" s="297">
        <f>+'Panel de control'!C97</f>
        <v>6.5011115145725981E-2</v>
      </c>
      <c r="G311" s="8">
        <f t="shared" ref="G311:Q311" si="194">+F311</f>
        <v>6.5011115145725981E-2</v>
      </c>
      <c r="H311" s="8">
        <f t="shared" si="194"/>
        <v>6.5011115145725981E-2</v>
      </c>
      <c r="I311" s="8">
        <f t="shared" si="194"/>
        <v>6.5011115145725981E-2</v>
      </c>
      <c r="J311" s="8">
        <f t="shared" si="194"/>
        <v>6.5011115145725981E-2</v>
      </c>
      <c r="K311" s="8">
        <f t="shared" si="194"/>
        <v>6.5011115145725981E-2</v>
      </c>
      <c r="L311" s="8">
        <f t="shared" si="194"/>
        <v>6.5011115145725981E-2</v>
      </c>
      <c r="M311" s="8">
        <f t="shared" si="194"/>
        <v>6.5011115145725981E-2</v>
      </c>
      <c r="N311" s="8">
        <f t="shared" si="194"/>
        <v>6.5011115145725981E-2</v>
      </c>
      <c r="O311" s="8">
        <f t="shared" si="194"/>
        <v>6.5011115145725981E-2</v>
      </c>
      <c r="P311" s="8">
        <f t="shared" si="194"/>
        <v>6.5011115145725981E-2</v>
      </c>
      <c r="Q311" s="8">
        <f t="shared" si="194"/>
        <v>6.5011115145725981E-2</v>
      </c>
    </row>
    <row r="312" spans="2:17" ht="15.75" hidden="1" outlineLevel="1" thickBot="1" x14ac:dyDescent="0.3">
      <c r="B312" s="298" t="s">
        <v>1505</v>
      </c>
      <c r="C312" s="1" t="s">
        <v>12</v>
      </c>
      <c r="F312" s="297">
        <f>+'Panel de control'!C98</f>
        <v>6.7628127239655556E-2</v>
      </c>
      <c r="G312" s="8">
        <f t="shared" ref="G312:Q312" si="195">+F312</f>
        <v>6.7628127239655556E-2</v>
      </c>
      <c r="H312" s="8">
        <f t="shared" si="195"/>
        <v>6.7628127239655556E-2</v>
      </c>
      <c r="I312" s="8">
        <f t="shared" si="195"/>
        <v>6.7628127239655556E-2</v>
      </c>
      <c r="J312" s="8">
        <f t="shared" si="195"/>
        <v>6.7628127239655556E-2</v>
      </c>
      <c r="K312" s="8">
        <f t="shared" si="195"/>
        <v>6.7628127239655556E-2</v>
      </c>
      <c r="L312" s="8">
        <f t="shared" si="195"/>
        <v>6.7628127239655556E-2</v>
      </c>
      <c r="M312" s="8">
        <f t="shared" si="195"/>
        <v>6.7628127239655556E-2</v>
      </c>
      <c r="N312" s="8">
        <f t="shared" si="195"/>
        <v>6.7628127239655556E-2</v>
      </c>
      <c r="O312" s="8">
        <f t="shared" si="195"/>
        <v>6.7628127239655556E-2</v>
      </c>
      <c r="P312" s="8">
        <f t="shared" si="195"/>
        <v>6.7628127239655556E-2</v>
      </c>
      <c r="Q312" s="8">
        <f t="shared" si="195"/>
        <v>6.7628127239655556E-2</v>
      </c>
    </row>
    <row r="313" spans="2:17" ht="15.75" hidden="1" outlineLevel="1" thickBot="1" x14ac:dyDescent="0.3">
      <c r="B313" s="298" t="s">
        <v>1506</v>
      </c>
      <c r="C313" s="1" t="s">
        <v>12</v>
      </c>
      <c r="F313" s="297">
        <f>+'Panel de control'!C99</f>
        <v>0.32032441296821251</v>
      </c>
      <c r="G313" s="8">
        <f t="shared" ref="G313:Q313" si="196">+F313</f>
        <v>0.32032441296821251</v>
      </c>
      <c r="H313" s="8">
        <f t="shared" si="196"/>
        <v>0.32032441296821251</v>
      </c>
      <c r="I313" s="8">
        <f t="shared" si="196"/>
        <v>0.32032441296821251</v>
      </c>
      <c r="J313" s="8">
        <f t="shared" si="196"/>
        <v>0.32032441296821251</v>
      </c>
      <c r="K313" s="8">
        <f t="shared" si="196"/>
        <v>0.32032441296821251</v>
      </c>
      <c r="L313" s="8">
        <f t="shared" si="196"/>
        <v>0.32032441296821251</v>
      </c>
      <c r="M313" s="8">
        <f t="shared" si="196"/>
        <v>0.32032441296821251</v>
      </c>
      <c r="N313" s="8">
        <f t="shared" si="196"/>
        <v>0.32032441296821251</v>
      </c>
      <c r="O313" s="8">
        <f t="shared" si="196"/>
        <v>0.32032441296821251</v>
      </c>
      <c r="P313" s="8">
        <f t="shared" si="196"/>
        <v>0.32032441296821251</v>
      </c>
      <c r="Q313" s="8">
        <f t="shared" si="196"/>
        <v>0.32032441296821251</v>
      </c>
    </row>
    <row r="314" spans="2:17" hidden="1" outlineLevel="1" x14ac:dyDescent="0.25">
      <c r="B314" s="298"/>
      <c r="C314" s="1"/>
    </row>
    <row r="315" spans="2:17" hidden="1" outlineLevel="1" x14ac:dyDescent="0.25">
      <c r="B315" s="4" t="s">
        <v>1508</v>
      </c>
      <c r="C315" s="1"/>
      <c r="F315" s="1">
        <f t="shared" ref="F315:Q315" si="197">+F326/F298</f>
        <v>792577.96785593021</v>
      </c>
      <c r="G315" s="1">
        <f t="shared" si="197"/>
        <v>820431.8470839723</v>
      </c>
      <c r="H315" s="1">
        <f t="shared" si="197"/>
        <v>849750.18412551493</v>
      </c>
      <c r="I315" s="1">
        <f>+I326/I298</f>
        <v>910577.24271613127</v>
      </c>
      <c r="J315" s="1">
        <f t="shared" si="197"/>
        <v>946611.06292884564</v>
      </c>
      <c r="K315" s="1">
        <f t="shared" si="197"/>
        <v>975371.66908890603</v>
      </c>
      <c r="L315" s="1">
        <f t="shared" si="197"/>
        <v>1004998.009809025</v>
      </c>
      <c r="M315" s="1">
        <f t="shared" si="197"/>
        <v>1035147.9501032959</v>
      </c>
      <c r="N315" s="1">
        <f t="shared" si="197"/>
        <v>1066202.3886063944</v>
      </c>
      <c r="O315" s="1">
        <f t="shared" si="197"/>
        <v>1098188.4602645864</v>
      </c>
      <c r="P315" s="1">
        <f t="shared" si="197"/>
        <v>1131134.1140725242</v>
      </c>
      <c r="Q315" s="1">
        <f t="shared" si="197"/>
        <v>1165068.1374946998</v>
      </c>
    </row>
    <row r="316" spans="2:17" hidden="1" outlineLevel="1" x14ac:dyDescent="0.25">
      <c r="B316" s="298" t="s">
        <v>1502</v>
      </c>
      <c r="C316" s="1" t="s">
        <v>5</v>
      </c>
      <c r="F316" s="279">
        <f>+'Panel de control'!C101</f>
        <v>719690.4</v>
      </c>
      <c r="G316" s="1">
        <f t="shared" ref="G316:J317" si="198">+F316*(1+G$273)</f>
        <v>744879.56400000001</v>
      </c>
      <c r="H316" s="1">
        <f t="shared" si="198"/>
        <v>770950.34873999993</v>
      </c>
      <c r="I316" s="1">
        <v>829526</v>
      </c>
      <c r="J316" s="1">
        <f t="shared" si="198"/>
        <v>862707.04</v>
      </c>
      <c r="K316" s="1">
        <f t="shared" ref="K316:Q316" si="199">+J316*(1+K$273)</f>
        <v>888588.25120000006</v>
      </c>
      <c r="L316" s="1">
        <f t="shared" si="199"/>
        <v>915245.89873600006</v>
      </c>
      <c r="M316" s="1">
        <f t="shared" si="199"/>
        <v>942703.27569808008</v>
      </c>
      <c r="N316" s="1">
        <f t="shared" si="199"/>
        <v>970984.37396902253</v>
      </c>
      <c r="O316" s="1">
        <f t="shared" si="199"/>
        <v>1000113.9051880932</v>
      </c>
      <c r="P316" s="1">
        <f t="shared" si="199"/>
        <v>1030117.3223437361</v>
      </c>
      <c r="Q316" s="1">
        <f t="shared" si="199"/>
        <v>1061020.8420140482</v>
      </c>
    </row>
    <row r="317" spans="2:17" hidden="1" outlineLevel="1" x14ac:dyDescent="0.25">
      <c r="B317" s="298" t="s">
        <v>1503</v>
      </c>
      <c r="C317" s="1" t="s">
        <v>5</v>
      </c>
      <c r="F317" s="279">
        <f>+'Panel de control'!C102</f>
        <v>802238.4</v>
      </c>
      <c r="G317" s="1">
        <f t="shared" si="198"/>
        <v>830316.74399999995</v>
      </c>
      <c r="H317" s="1">
        <f t="shared" si="198"/>
        <v>859377.83003999991</v>
      </c>
      <c r="I317" s="1">
        <v>924674</v>
      </c>
      <c r="J317" s="1">
        <f t="shared" si="198"/>
        <v>961660.96000000008</v>
      </c>
      <c r="K317" s="1">
        <f t="shared" ref="K317:Q317" si="200">+J317*(1+K$273)</f>
        <v>990510.7888000001</v>
      </c>
      <c r="L317" s="1">
        <f t="shared" si="200"/>
        <v>1020226.1124640001</v>
      </c>
      <c r="M317" s="1">
        <f t="shared" si="200"/>
        <v>1050832.8958379203</v>
      </c>
      <c r="N317" s="1">
        <f t="shared" si="200"/>
        <v>1082357.8827130578</v>
      </c>
      <c r="O317" s="1">
        <f t="shared" si="200"/>
        <v>1114828.6191944496</v>
      </c>
      <c r="P317" s="1">
        <f t="shared" si="200"/>
        <v>1148273.4777702831</v>
      </c>
      <c r="Q317" s="1">
        <f t="shared" si="200"/>
        <v>1182721.6821033917</v>
      </c>
    </row>
    <row r="318" spans="2:17" hidden="1" outlineLevel="1" x14ac:dyDescent="0.25">
      <c r="B318" s="298" t="s">
        <v>1504</v>
      </c>
      <c r="C318" s="1" t="s">
        <v>5</v>
      </c>
      <c r="F318" s="279">
        <f>+'Panel de control'!C103</f>
        <v>827643.6</v>
      </c>
      <c r="G318" s="1">
        <f t="shared" ref="G318:H320" si="201">+F318*(1+G$273)</f>
        <v>856611.12599999993</v>
      </c>
      <c r="H318" s="1">
        <f t="shared" si="201"/>
        <v>886592.51540999988</v>
      </c>
      <c r="I318" s="1">
        <f>+H318*(1+I$273)</f>
        <v>934113.87423597591</v>
      </c>
      <c r="J318" s="1">
        <f>+I318*(1+J$273)</f>
        <v>971478.42920541496</v>
      </c>
      <c r="K318" s="1">
        <f t="shared" ref="K318:Q318" si="202">+J318*(1+K$273)</f>
        <v>1000622.7820815775</v>
      </c>
      <c r="L318" s="1">
        <f t="shared" si="202"/>
        <v>1030641.4655440248</v>
      </c>
      <c r="M318" s="1">
        <f t="shared" si="202"/>
        <v>1061560.7095103457</v>
      </c>
      <c r="N318" s="1">
        <f t="shared" si="202"/>
        <v>1093407.5307956561</v>
      </c>
      <c r="O318" s="1">
        <f t="shared" si="202"/>
        <v>1126209.7567195259</v>
      </c>
      <c r="P318" s="1">
        <f t="shared" si="202"/>
        <v>1159996.0494211118</v>
      </c>
      <c r="Q318" s="1">
        <f t="shared" si="202"/>
        <v>1194795.9309037451</v>
      </c>
    </row>
    <row r="319" spans="2:17" hidden="1" outlineLevel="1" x14ac:dyDescent="0.25">
      <c r="B319" s="298" t="s">
        <v>1505</v>
      </c>
      <c r="C319" s="1" t="s">
        <v>5</v>
      </c>
      <c r="F319" s="279">
        <f>+'Panel de control'!C104</f>
        <v>804463.2</v>
      </c>
      <c r="G319" s="1">
        <f t="shared" si="201"/>
        <v>832619.41199999989</v>
      </c>
      <c r="H319" s="1">
        <f t="shared" si="201"/>
        <v>861761.09141999984</v>
      </c>
      <c r="I319" s="1">
        <v>892591</v>
      </c>
      <c r="J319" s="1">
        <f>+I319*(1+J$273)</f>
        <v>928294.64</v>
      </c>
      <c r="K319" s="1">
        <f t="shared" ref="K319:Q319" si="203">+J319*(1+K$273)</f>
        <v>956143.47920000006</v>
      </c>
      <c r="L319" s="1">
        <f t="shared" si="203"/>
        <v>984827.78357600013</v>
      </c>
      <c r="M319" s="1">
        <f t="shared" si="203"/>
        <v>1014372.6170832801</v>
      </c>
      <c r="N319" s="1">
        <f t="shared" si="203"/>
        <v>1044803.7955957785</v>
      </c>
      <c r="O319" s="1">
        <f t="shared" si="203"/>
        <v>1076147.9094636519</v>
      </c>
      <c r="P319" s="1">
        <f t="shared" si="203"/>
        <v>1108432.3467475616</v>
      </c>
      <c r="Q319" s="1">
        <f t="shared" si="203"/>
        <v>1141685.3171499884</v>
      </c>
    </row>
    <row r="320" spans="2:17" hidden="1" outlineLevel="1" x14ac:dyDescent="0.25">
      <c r="B320" s="298" t="s">
        <v>1506</v>
      </c>
      <c r="C320" s="1" t="s">
        <v>5</v>
      </c>
      <c r="F320" s="279">
        <f>+'Panel de control'!C105</f>
        <v>864568.8</v>
      </c>
      <c r="G320" s="1">
        <f t="shared" si="201"/>
        <v>894828.70799999998</v>
      </c>
      <c r="H320" s="1">
        <f t="shared" si="201"/>
        <v>926147.71277999994</v>
      </c>
      <c r="I320" s="1">
        <v>999838</v>
      </c>
      <c r="J320" s="1">
        <f>+I320*(1+J$273)</f>
        <v>1039831.52</v>
      </c>
      <c r="K320" s="1">
        <f t="shared" ref="K320:Q320" si="204">+J320*(1+K$273)</f>
        <v>1071026.4656</v>
      </c>
      <c r="L320" s="1">
        <f t="shared" si="204"/>
        <v>1103157.259568</v>
      </c>
      <c r="M320" s="1">
        <f t="shared" si="204"/>
        <v>1136251.9773550399</v>
      </c>
      <c r="N320" s="1">
        <f t="shared" si="204"/>
        <v>1170339.5366756911</v>
      </c>
      <c r="O320" s="1">
        <f t="shared" si="204"/>
        <v>1205449.722775962</v>
      </c>
      <c r="P320" s="1">
        <f t="shared" si="204"/>
        <v>1241613.2144592409</v>
      </c>
      <c r="Q320" s="1">
        <f t="shared" si="204"/>
        <v>1278861.6108930181</v>
      </c>
    </row>
    <row r="321" spans="2:17" hidden="1" outlineLevel="1" x14ac:dyDescent="0.25">
      <c r="B321" s="4"/>
      <c r="C321" s="1"/>
      <c r="F321" s="279"/>
    </row>
    <row r="322" spans="2:17" hidden="1" outlineLevel="1" x14ac:dyDescent="0.25">
      <c r="B322" s="4" t="s">
        <v>1508</v>
      </c>
      <c r="C322" s="1"/>
      <c r="F322" s="279"/>
    </row>
    <row r="323" spans="2:17" hidden="1" outlineLevel="1" x14ac:dyDescent="0.25">
      <c r="B323" s="298" t="s">
        <v>1621</v>
      </c>
      <c r="C323" s="1" t="s">
        <v>5</v>
      </c>
      <c r="F323" s="279"/>
    </row>
    <row r="324" spans="2:17" hidden="1" outlineLevel="1" x14ac:dyDescent="0.25">
      <c r="B324" s="298" t="s">
        <v>1622</v>
      </c>
      <c r="C324" s="1" t="s">
        <v>5</v>
      </c>
      <c r="F324" s="279"/>
    </row>
    <row r="325" spans="2:17" hidden="1" outlineLevel="1" x14ac:dyDescent="0.25">
      <c r="B325" s="4"/>
      <c r="C325" s="1"/>
      <c r="F325" s="279"/>
    </row>
    <row r="326" spans="2:17" hidden="1" outlineLevel="1" x14ac:dyDescent="0.25">
      <c r="B326" s="4" t="s">
        <v>1509</v>
      </c>
      <c r="C326" s="1" t="s">
        <v>11</v>
      </c>
      <c r="F326" s="9">
        <f t="shared" ref="F326:Q326" si="205">SUM(F327:F331)</f>
        <v>1341606910816.6201</v>
      </c>
      <c r="G326" s="9">
        <f t="shared" si="205"/>
        <v>1399062284091.1187</v>
      </c>
      <c r="H326" s="9">
        <f t="shared" si="205"/>
        <v>1415874150794.3521</v>
      </c>
      <c r="I326" s="9">
        <f t="shared" si="205"/>
        <v>1545902312705.9026</v>
      </c>
      <c r="J326" s="9">
        <f t="shared" si="205"/>
        <v>1604964012862.4253</v>
      </c>
      <c r="K326" s="9">
        <f t="shared" si="205"/>
        <v>1671485863311.853</v>
      </c>
      <c r="L326" s="9">
        <f t="shared" si="205"/>
        <v>1740594608720.1743</v>
      </c>
      <c r="M326" s="9">
        <f t="shared" si="205"/>
        <v>1801776509216.6885</v>
      </c>
      <c r="N326" s="9">
        <f t="shared" si="205"/>
        <v>1865108953515.6543</v>
      </c>
      <c r="O326" s="9">
        <f t="shared" si="205"/>
        <v>1930667533231.7295</v>
      </c>
      <c r="P326" s="9">
        <f t="shared" si="205"/>
        <v>1998530497024.825</v>
      </c>
      <c r="Q326" s="9">
        <f t="shared" si="205"/>
        <v>2068778843995.2471</v>
      </c>
    </row>
    <row r="327" spans="2:17" hidden="1" outlineLevel="1" x14ac:dyDescent="0.25">
      <c r="B327" s="298" t="s">
        <v>1502</v>
      </c>
      <c r="C327" s="1" t="s">
        <v>11</v>
      </c>
      <c r="F327" s="9">
        <f t="shared" ref="F327:Q327" si="206">+F316*F300</f>
        <v>463815813403.79999</v>
      </c>
      <c r="G327" s="9">
        <f t="shared" si="206"/>
        <v>481966753823.06677</v>
      </c>
      <c r="H327" s="9">
        <f t="shared" si="206"/>
        <v>478879102272.55164</v>
      </c>
      <c r="I327" s="9">
        <f>+I316*I300</f>
        <v>544934147773.35583</v>
      </c>
      <c r="J327" s="9">
        <f t="shared" si="206"/>
        <v>574667504240.64478</v>
      </c>
      <c r="K327" s="9">
        <f t="shared" si="206"/>
        <v>590097739218.30115</v>
      </c>
      <c r="L327" s="9">
        <f t="shared" si="206"/>
        <v>605953016430.00183</v>
      </c>
      <c r="M327" s="9">
        <f t="shared" si="206"/>
        <v>627252264957.5166</v>
      </c>
      <c r="N327" s="9">
        <f t="shared" si="206"/>
        <v>649300182070.77295</v>
      </c>
      <c r="O327" s="9">
        <f t="shared" si="206"/>
        <v>672123083470.56067</v>
      </c>
      <c r="P327" s="9">
        <f t="shared" si="206"/>
        <v>695748209854.55078</v>
      </c>
      <c r="Q327" s="9">
        <f t="shared" si="206"/>
        <v>720203759430.93823</v>
      </c>
    </row>
    <row r="328" spans="2:17" hidden="1" outlineLevel="1" x14ac:dyDescent="0.25">
      <c r="B328" s="298" t="s">
        <v>1503</v>
      </c>
      <c r="C328" s="1" t="s">
        <v>11</v>
      </c>
      <c r="F328" s="9">
        <f t="shared" ref="F328:Q328" si="207">+F317*F301</f>
        <v>225837891312.48001</v>
      </c>
      <c r="G328" s="9">
        <f t="shared" si="207"/>
        <v>235476953017.31931</v>
      </c>
      <c r="H328" s="9">
        <f t="shared" si="207"/>
        <v>238137398122.57303</v>
      </c>
      <c r="I328" s="9">
        <f t="shared" si="207"/>
        <v>261074210828.20029</v>
      </c>
      <c r="J328" s="9">
        <f t="shared" si="207"/>
        <v>271160097674.45856</v>
      </c>
      <c r="K328" s="9">
        <f t="shared" si="207"/>
        <v>282294134337.35455</v>
      </c>
      <c r="L328" s="9">
        <f t="shared" si="207"/>
        <v>293858961966.98895</v>
      </c>
      <c r="M328" s="9">
        <f t="shared" si="207"/>
        <v>304188104480.1286</v>
      </c>
      <c r="N328" s="9">
        <f t="shared" si="207"/>
        <v>314880316352.60504</v>
      </c>
      <c r="O328" s="9">
        <f t="shared" si="207"/>
        <v>325948359472.39911</v>
      </c>
      <c r="P328" s="9">
        <f t="shared" si="207"/>
        <v>337405444307.85388</v>
      </c>
      <c r="Q328" s="9">
        <f t="shared" si="207"/>
        <v>349265245675.27496</v>
      </c>
    </row>
    <row r="329" spans="2:17" hidden="1" outlineLevel="1" x14ac:dyDescent="0.25">
      <c r="B329" s="298" t="s">
        <v>1504</v>
      </c>
      <c r="C329" s="1" t="s">
        <v>11</v>
      </c>
      <c r="F329" s="9">
        <f t="shared" ref="F329:Q329" si="208">+F318*F302</f>
        <v>91078164108.539993</v>
      </c>
      <c r="G329" s="9">
        <f t="shared" si="208"/>
        <v>94965501342.799698</v>
      </c>
      <c r="H329" s="9">
        <f t="shared" si="208"/>
        <v>96038432260.148682</v>
      </c>
      <c r="I329" s="9">
        <f t="shared" si="208"/>
        <v>103098582209.33116</v>
      </c>
      <c r="J329" s="9">
        <f t="shared" si="208"/>
        <v>107081513464.2962</v>
      </c>
      <c r="K329" s="9">
        <f t="shared" si="208"/>
        <v>111478360592.81883</v>
      </c>
      <c r="L329" s="9">
        <f t="shared" si="208"/>
        <v>116045327695.1161</v>
      </c>
      <c r="M329" s="9">
        <f t="shared" si="208"/>
        <v>120124320963.59944</v>
      </c>
      <c r="N329" s="9">
        <f t="shared" si="208"/>
        <v>124346690845.46994</v>
      </c>
      <c r="O329" s="9">
        <f t="shared" si="208"/>
        <v>128717477028.6882</v>
      </c>
      <c r="P329" s="9">
        <f t="shared" si="208"/>
        <v>133241896346.2466</v>
      </c>
      <c r="Q329" s="9">
        <f t="shared" si="208"/>
        <v>137925349002.81714</v>
      </c>
    </row>
    <row r="330" spans="2:17" hidden="1" outlineLevel="1" x14ac:dyDescent="0.25">
      <c r="B330" s="298" t="s">
        <v>1505</v>
      </c>
      <c r="C330" s="1" t="s">
        <v>11</v>
      </c>
      <c r="F330" s="9">
        <f t="shared" ref="F330:Q330" si="209">+F319*F303</f>
        <v>92090924820</v>
      </c>
      <c r="G330" s="9">
        <f t="shared" si="209"/>
        <v>97860628843.363068</v>
      </c>
      <c r="H330" s="9">
        <f t="shared" si="209"/>
        <v>108504339020.69218</v>
      </c>
      <c r="I330" s="9">
        <f>+I319*I303</f>
        <v>93063322842</v>
      </c>
      <c r="J330" s="9">
        <f t="shared" si="209"/>
        <v>87317250427.680008</v>
      </c>
      <c r="K330" s="9">
        <f t="shared" si="209"/>
        <v>99689431428.350403</v>
      </c>
      <c r="L330" s="9">
        <f t="shared" si="209"/>
        <v>112725357763.67613</v>
      </c>
      <c r="M330" s="9">
        <f t="shared" si="209"/>
        <v>116687654089.06932</v>
      </c>
      <c r="N330" s="9">
        <f t="shared" si="209"/>
        <v>120789225130.30009</v>
      </c>
      <c r="O330" s="9">
        <f t="shared" si="209"/>
        <v>125034966393.63013</v>
      </c>
      <c r="P330" s="9">
        <f t="shared" si="209"/>
        <v>129429945462.36623</v>
      </c>
      <c r="Q330" s="9">
        <f t="shared" si="209"/>
        <v>133979408045.36838</v>
      </c>
    </row>
    <row r="331" spans="2:17" hidden="1" outlineLevel="1" x14ac:dyDescent="0.25">
      <c r="B331" s="298" t="s">
        <v>1506</v>
      </c>
      <c r="C331" s="1" t="s">
        <v>11</v>
      </c>
      <c r="F331" s="9">
        <f t="shared" ref="F331:Q331" si="210">+F320*F304</f>
        <v>468784117171.80005</v>
      </c>
      <c r="G331" s="9">
        <f t="shared" si="210"/>
        <v>488792447064.56995</v>
      </c>
      <c r="H331" s="9">
        <f t="shared" si="210"/>
        <v>494314879118.3866</v>
      </c>
      <c r="I331" s="9">
        <f t="shared" si="210"/>
        <v>543732049053.01532</v>
      </c>
      <c r="J331" s="9">
        <f t="shared" si="210"/>
        <v>564737647055.34583</v>
      </c>
      <c r="K331" s="9">
        <f t="shared" si="210"/>
        <v>587926197735.02808</v>
      </c>
      <c r="L331" s="9">
        <f t="shared" si="210"/>
        <v>612011944864.39124</v>
      </c>
      <c r="M331" s="9">
        <f t="shared" si="210"/>
        <v>633524164726.37439</v>
      </c>
      <c r="N331" s="9">
        <f t="shared" si="210"/>
        <v>655792539116.50635</v>
      </c>
      <c r="O331" s="9">
        <f t="shared" si="210"/>
        <v>678843646866.45154</v>
      </c>
      <c r="P331" s="9">
        <f t="shared" si="210"/>
        <v>702705001053.80737</v>
      </c>
      <c r="Q331" s="9">
        <f t="shared" si="210"/>
        <v>727405081840.84851</v>
      </c>
    </row>
    <row r="332" spans="2:17" hidden="1" outlineLevel="1" x14ac:dyDescent="0.25">
      <c r="B332" s="4"/>
      <c r="C332" s="1"/>
      <c r="F332" s="9"/>
    </row>
    <row r="333" spans="2:17" hidden="1" outlineLevel="1" x14ac:dyDescent="0.25">
      <c r="B333" s="118" t="s">
        <v>1353</v>
      </c>
      <c r="C333" s="9" t="s">
        <v>12</v>
      </c>
      <c r="D333" s="9"/>
      <c r="E333" s="6">
        <f t="shared" ref="E333:Q333" si="211">+E289/D289-1</f>
        <v>0.1340092164040152</v>
      </c>
      <c r="F333" s="6">
        <f t="shared" si="211"/>
        <v>6.9974308560087461E-2</v>
      </c>
      <c r="G333" s="6">
        <f t="shared" si="211"/>
        <v>0.11477191844685275</v>
      </c>
      <c r="H333" s="6">
        <f t="shared" si="211"/>
        <v>7.7709049225751281E-2</v>
      </c>
      <c r="I333" s="6">
        <f t="shared" si="211"/>
        <v>7.5879999999999947E-2</v>
      </c>
      <c r="J333" s="6">
        <f t="shared" si="211"/>
        <v>2.5812914653462915E-2</v>
      </c>
      <c r="K333" s="6">
        <f t="shared" si="211"/>
        <v>3.5150000000000015E-2</v>
      </c>
      <c r="L333" s="6">
        <f t="shared" si="211"/>
        <v>3.5149999999999793E-2</v>
      </c>
      <c r="M333" s="6">
        <f t="shared" si="211"/>
        <v>3.5149999999999793E-2</v>
      </c>
      <c r="N333" s="6">
        <f t="shared" si="211"/>
        <v>3.5150000000000015E-2</v>
      </c>
      <c r="O333" s="6">
        <f t="shared" si="211"/>
        <v>3.5149999999999793E-2</v>
      </c>
      <c r="P333" s="6">
        <f t="shared" si="211"/>
        <v>3.5150000000000015E-2</v>
      </c>
      <c r="Q333" s="6">
        <f t="shared" si="211"/>
        <v>4.9999999999998934E-3</v>
      </c>
    </row>
    <row r="334" spans="2:17" hidden="1" outlineLevel="1" x14ac:dyDescent="0.25"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</row>
    <row r="335" spans="2:17" hidden="1" outlineLevel="1" x14ac:dyDescent="0.25">
      <c r="B335" s="118" t="s">
        <v>1351</v>
      </c>
      <c r="C335" s="9" t="s">
        <v>1344</v>
      </c>
      <c r="D335" s="9"/>
      <c r="E335" s="9"/>
      <c r="F335" s="279">
        <f>+PRY!F298</f>
        <v>1692712.85</v>
      </c>
      <c r="G335" s="279">
        <f>+PRY!G298</f>
        <v>1705275.4461735599</v>
      </c>
      <c r="H335" s="279">
        <f>+PRY!H298</f>
        <v>1666224</v>
      </c>
      <c r="I335" s="279">
        <f>+PRY!I298</f>
        <v>1697716.8329999999</v>
      </c>
      <c r="J335" s="279">
        <f>+PRY!J298</f>
        <v>1695484.1071649997</v>
      </c>
      <c r="K335" s="279">
        <f>+PRY!K298</f>
        <v>1713691.2177008246</v>
      </c>
      <c r="L335" s="279">
        <f>+PRY!L298</f>
        <v>1731938.3637893286</v>
      </c>
      <c r="M335" s="279">
        <f>+PRY!M298</f>
        <v>1740598.0556082751</v>
      </c>
      <c r="N335" s="279">
        <f>+PRY!N298</f>
        <v>1749301.0458863161</v>
      </c>
      <c r="O335" s="279">
        <f>+PRY!O298</f>
        <v>1758047.5511157475</v>
      </c>
      <c r="P335" s="279">
        <f>+PRY!P298</f>
        <v>1766837.788871326</v>
      </c>
      <c r="Q335" s="279">
        <f>+PRY!Q298</f>
        <v>1775671.9778156825</v>
      </c>
    </row>
    <row r="336" spans="2:17" hidden="1" outlineLevel="1" x14ac:dyDescent="0.25">
      <c r="B336" s="118" t="s">
        <v>1352</v>
      </c>
      <c r="C336" s="9" t="s">
        <v>12</v>
      </c>
      <c r="D336" s="9"/>
      <c r="E336" s="9"/>
      <c r="F336" s="9"/>
      <c r="G336" s="6">
        <f>+G335/F335-1</f>
        <v>7.4215754748714335E-3</v>
      </c>
      <c r="H336" s="6">
        <f t="shared" ref="H336:Q336" si="212">+H335/G335-1</f>
        <v>-2.2900374400620649E-2</v>
      </c>
      <c r="I336" s="6">
        <f t="shared" si="212"/>
        <v>1.8900719831187018E-2</v>
      </c>
      <c r="J336" s="6">
        <f t="shared" si="212"/>
        <v>-1.3151344155872824E-3</v>
      </c>
      <c r="K336" s="6">
        <f t="shared" si="212"/>
        <v>1.0738591095535988E-2</v>
      </c>
      <c r="L336" s="6">
        <f t="shared" si="212"/>
        <v>1.0647861119919444E-2</v>
      </c>
      <c r="M336" s="6">
        <f t="shared" si="212"/>
        <v>4.9999999999998934E-3</v>
      </c>
      <c r="N336" s="6">
        <f t="shared" si="212"/>
        <v>4.9999999999996714E-3</v>
      </c>
      <c r="O336" s="6">
        <f t="shared" si="212"/>
        <v>4.9999999999998934E-3</v>
      </c>
      <c r="P336" s="6">
        <f t="shared" si="212"/>
        <v>4.9999999999998934E-3</v>
      </c>
      <c r="Q336" s="6">
        <f t="shared" si="212"/>
        <v>4.9999999999998934E-3</v>
      </c>
    </row>
    <row r="337" spans="2:21" hidden="1" outlineLevel="1" x14ac:dyDescent="0.25"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</row>
    <row r="338" spans="2:21" s="463" customFormat="1" hidden="1" outlineLevel="1" x14ac:dyDescent="0.25">
      <c r="B338" s="484" t="s">
        <v>1159</v>
      </c>
      <c r="D338" s="452"/>
      <c r="E338" s="473">
        <f>+E106/D62</f>
        <v>3.8151365739337438E-2</v>
      </c>
      <c r="F338" s="473">
        <f>+F106/E62</f>
        <v>1.2640410312484019E-2</v>
      </c>
      <c r="G338" s="485">
        <v>2.41E-2</v>
      </c>
      <c r="H338" s="473">
        <v>0.113</v>
      </c>
      <c r="I338" s="473">
        <v>3.0000000000000001E-3</v>
      </c>
      <c r="J338" s="473">
        <v>1.4E-2</v>
      </c>
      <c r="K338" s="473">
        <f t="shared" ref="K338:Q338" si="213">+J338</f>
        <v>1.4E-2</v>
      </c>
      <c r="L338" s="473">
        <f t="shared" si="213"/>
        <v>1.4E-2</v>
      </c>
      <c r="M338" s="473">
        <v>0.01</v>
      </c>
      <c r="N338" s="473">
        <f t="shared" si="213"/>
        <v>0.01</v>
      </c>
      <c r="O338" s="473">
        <f t="shared" si="213"/>
        <v>0.01</v>
      </c>
      <c r="P338" s="473">
        <f t="shared" si="213"/>
        <v>0.01</v>
      </c>
      <c r="Q338" s="473">
        <f t="shared" si="213"/>
        <v>0.01</v>
      </c>
    </row>
    <row r="339" spans="2:21" hidden="1" outlineLevel="1" x14ac:dyDescent="0.25">
      <c r="B339" s="10" t="s">
        <v>1160</v>
      </c>
      <c r="C339" s="9" t="s">
        <v>11</v>
      </c>
      <c r="D339" s="9"/>
      <c r="E339" s="9"/>
      <c r="F339" s="9"/>
      <c r="G339" s="9">
        <f t="shared" ref="G339:Q339" si="214">+G338*G62</f>
        <v>38521863140.882233</v>
      </c>
      <c r="H339" s="9">
        <f>(H338*H62)-454000000</f>
        <v>194221686919.98117</v>
      </c>
      <c r="I339" s="9">
        <f t="shared" si="214"/>
        <v>5552884689.4241562</v>
      </c>
      <c r="J339" s="9">
        <f>+J338*J62</f>
        <v>26813585878.942413</v>
      </c>
      <c r="K339" s="9">
        <f t="shared" si="214"/>
        <v>27814369162.076939</v>
      </c>
      <c r="L339" s="9">
        <f t="shared" si="214"/>
        <v>28763313531.82262</v>
      </c>
      <c r="M339" s="9">
        <f t="shared" si="214"/>
        <v>21267388573.190132</v>
      </c>
      <c r="N339" s="9">
        <f t="shared" si="214"/>
        <v>22014937281.537758</v>
      </c>
      <c r="O339" s="9">
        <f t="shared" si="214"/>
        <v>22788762326.98381</v>
      </c>
      <c r="P339" s="9">
        <f t="shared" si="214"/>
        <v>23589787322.77729</v>
      </c>
      <c r="Q339" s="9">
        <f t="shared" si="214"/>
        <v>23707736259.391178</v>
      </c>
    </row>
    <row r="340" spans="2:21" hidden="1" outlineLevel="1" x14ac:dyDescent="0.25">
      <c r="B340" s="108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</row>
    <row r="341" spans="2:21" hidden="1" outlineLevel="1" x14ac:dyDescent="0.25">
      <c r="B341" s="108" t="s">
        <v>1476</v>
      </c>
      <c r="C341" s="9" t="s">
        <v>11</v>
      </c>
      <c r="D341" s="9"/>
      <c r="E341" s="9"/>
      <c r="F341" s="9"/>
      <c r="G341" s="103">
        <f>+G344+G348</f>
        <v>4795252673.1388674</v>
      </c>
      <c r="H341" s="103">
        <f t="shared" ref="H341:Q341" si="215">+H344+H348</f>
        <v>6553933801.8170671</v>
      </c>
      <c r="I341" s="103">
        <f t="shared" si="215"/>
        <v>3623164157.22611</v>
      </c>
      <c r="J341" s="103">
        <f t="shared" si="215"/>
        <v>3318326231.9511318</v>
      </c>
      <c r="K341" s="103">
        <f t="shared" si="215"/>
        <v>4349497364.855485</v>
      </c>
      <c r="L341" s="103">
        <f t="shared" si="215"/>
        <v>5021346062.4889822</v>
      </c>
      <c r="M341" s="103">
        <f t="shared" si="215"/>
        <v>5807203893.5364218</v>
      </c>
      <c r="N341" s="103">
        <f t="shared" si="215"/>
        <v>6206581123.3591576</v>
      </c>
      <c r="O341" s="103">
        <f t="shared" si="215"/>
        <v>6368070463.2030745</v>
      </c>
      <c r="P341" s="103">
        <f t="shared" si="215"/>
        <v>6544375253.175087</v>
      </c>
      <c r="Q341" s="103">
        <f t="shared" si="215"/>
        <v>6679827335.8531971</v>
      </c>
    </row>
    <row r="342" spans="2:21" hidden="1" outlineLevel="1" x14ac:dyDescent="0.25">
      <c r="B342" s="108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</row>
    <row r="343" spans="2:21" s="6" customFormat="1" hidden="1" outlineLevel="1" x14ac:dyDescent="0.25">
      <c r="B343" s="118" t="s">
        <v>1165</v>
      </c>
      <c r="D343" s="6">
        <f>+D105/D62</f>
        <v>2.9559611426428268E-3</v>
      </c>
      <c r="E343" s="6">
        <f>+E105/E62</f>
        <v>1.2571558231698262E-3</v>
      </c>
      <c r="F343" s="6">
        <f>+F105/F62</f>
        <v>2.8919312857978133E-3</v>
      </c>
      <c r="G343" s="7">
        <v>3.0000000000000001E-3</v>
      </c>
      <c r="H343" s="6">
        <f t="shared" ref="H343:Q343" si="216">+G343</f>
        <v>3.0000000000000001E-3</v>
      </c>
      <c r="I343" s="6">
        <v>1E-3</v>
      </c>
      <c r="J343" s="6">
        <f t="shared" si="216"/>
        <v>1E-3</v>
      </c>
      <c r="K343" s="6">
        <f t="shared" si="216"/>
        <v>1E-3</v>
      </c>
      <c r="L343" s="6">
        <f t="shared" si="216"/>
        <v>1E-3</v>
      </c>
      <c r="M343" s="6">
        <f t="shared" si="216"/>
        <v>1E-3</v>
      </c>
      <c r="N343" s="6">
        <f t="shared" si="216"/>
        <v>1E-3</v>
      </c>
      <c r="O343" s="6">
        <f t="shared" si="216"/>
        <v>1E-3</v>
      </c>
      <c r="P343" s="6">
        <f t="shared" si="216"/>
        <v>1E-3</v>
      </c>
      <c r="Q343" s="6">
        <f t="shared" si="216"/>
        <v>1E-3</v>
      </c>
    </row>
    <row r="344" spans="2:21" hidden="1" outlineLevel="1" x14ac:dyDescent="0.25">
      <c r="B344" s="109" t="s">
        <v>1166</v>
      </c>
      <c r="C344" s="9" t="s">
        <v>11</v>
      </c>
      <c r="D344" s="9"/>
      <c r="E344" s="9"/>
      <c r="F344" s="9"/>
      <c r="G344" s="9">
        <f t="shared" ref="G344:Q344" si="217">+G343*G62</f>
        <v>4795252673.1388674</v>
      </c>
      <c r="H344" s="9">
        <f t="shared" si="217"/>
        <v>5168381068.6720667</v>
      </c>
      <c r="I344" s="9">
        <f t="shared" si="217"/>
        <v>1850961563.1413853</v>
      </c>
      <c r="J344" s="9">
        <f t="shared" si="217"/>
        <v>1915256134.2101724</v>
      </c>
      <c r="K344" s="9">
        <f t="shared" si="217"/>
        <v>1986740654.434067</v>
      </c>
      <c r="L344" s="9">
        <f t="shared" si="217"/>
        <v>2054522395.1301873</v>
      </c>
      <c r="M344" s="9">
        <f t="shared" si="217"/>
        <v>2126738857.3190131</v>
      </c>
      <c r="N344" s="9">
        <f t="shared" si="217"/>
        <v>2201493728.1537757</v>
      </c>
      <c r="O344" s="9">
        <f t="shared" si="217"/>
        <v>2278876232.6983809</v>
      </c>
      <c r="P344" s="9">
        <f t="shared" si="217"/>
        <v>2358978732.277729</v>
      </c>
      <c r="Q344" s="9">
        <f t="shared" si="217"/>
        <v>2370773625.9391179</v>
      </c>
    </row>
    <row r="345" spans="2:21" hidden="1" outlineLevel="1" x14ac:dyDescent="0.25">
      <c r="B345" s="10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</row>
    <row r="346" spans="2:21" s="6" customFormat="1" hidden="1" outlineLevel="1" x14ac:dyDescent="0.25">
      <c r="B346" s="118" t="s">
        <v>1472</v>
      </c>
      <c r="C346" s="6" t="s">
        <v>1473</v>
      </c>
      <c r="G346" s="7">
        <v>3.5000000000000003E-2</v>
      </c>
      <c r="H346" s="6">
        <f>+G346</f>
        <v>3.5000000000000003E-2</v>
      </c>
      <c r="I346" s="6">
        <v>0.01</v>
      </c>
      <c r="J346" s="6">
        <f t="shared" ref="J346:Q346" si="218">+I346</f>
        <v>0.01</v>
      </c>
      <c r="K346" s="6">
        <f t="shared" si="218"/>
        <v>0.01</v>
      </c>
      <c r="L346" s="6">
        <f t="shared" si="218"/>
        <v>0.01</v>
      </c>
      <c r="M346" s="6">
        <f t="shared" si="218"/>
        <v>0.01</v>
      </c>
      <c r="N346" s="6">
        <f t="shared" si="218"/>
        <v>0.01</v>
      </c>
      <c r="O346" s="6">
        <f t="shared" si="218"/>
        <v>0.01</v>
      </c>
      <c r="P346" s="6">
        <f t="shared" si="218"/>
        <v>0.01</v>
      </c>
      <c r="Q346" s="6">
        <f t="shared" si="218"/>
        <v>0.01</v>
      </c>
    </row>
    <row r="347" spans="2:21" s="103" customFormat="1" hidden="1" outlineLevel="1" x14ac:dyDescent="0.25">
      <c r="B347" s="274" t="s">
        <v>1516</v>
      </c>
      <c r="C347" s="103" t="s">
        <v>11</v>
      </c>
      <c r="G347" s="103">
        <f t="shared" ref="G347:P347" si="219">+F609</f>
        <v>39587220947</v>
      </c>
      <c r="H347" s="103">
        <f t="shared" si="219"/>
        <v>61681498714.984253</v>
      </c>
      <c r="I347" s="103">
        <f t="shared" si="219"/>
        <v>218932520833.20761</v>
      </c>
      <c r="J347" s="103">
        <f t="shared" si="219"/>
        <v>253618821251.07599</v>
      </c>
      <c r="K347" s="103">
        <f t="shared" si="219"/>
        <v>339745912220.68298</v>
      </c>
      <c r="L347" s="103">
        <f t="shared" si="219"/>
        <v>396347095022.79877</v>
      </c>
      <c r="M347" s="103">
        <f t="shared" si="219"/>
        <v>404670384018.27753</v>
      </c>
      <c r="N347" s="103">
        <f t="shared" si="219"/>
        <v>413168462082.66125</v>
      </c>
      <c r="O347" s="103">
        <f t="shared" si="219"/>
        <v>423910842096.81049</v>
      </c>
      <c r="P347" s="103">
        <f t="shared" si="219"/>
        <v>437899899886.00519</v>
      </c>
      <c r="Q347" s="103">
        <f>+P609</f>
        <v>453226396382.01532</v>
      </c>
    </row>
    <row r="348" spans="2:21" hidden="1" outlineLevel="1" x14ac:dyDescent="0.25">
      <c r="B348" s="109" t="s">
        <v>1166</v>
      </c>
      <c r="C348" s="9" t="s">
        <v>11</v>
      </c>
      <c r="D348" s="9"/>
      <c r="E348" s="9"/>
      <c r="F348" s="9"/>
      <c r="G348" s="9"/>
      <c r="H348" s="9">
        <f>AVERAGE(F347:G347)*G346</f>
        <v>1385552733.1450002</v>
      </c>
      <c r="I348" s="9">
        <f t="shared" ref="I348:Q348" si="220">AVERAGE(G347:H347)*H346</f>
        <v>1772202594.0847247</v>
      </c>
      <c r="J348" s="9">
        <f t="shared" si="220"/>
        <v>1403070097.7409594</v>
      </c>
      <c r="K348" s="9">
        <f t="shared" si="220"/>
        <v>2362756710.4214177</v>
      </c>
      <c r="L348" s="9">
        <f t="shared" si="220"/>
        <v>2966823667.3587952</v>
      </c>
      <c r="M348" s="9">
        <f t="shared" si="220"/>
        <v>3680465036.2174087</v>
      </c>
      <c r="N348" s="9">
        <f t="shared" si="220"/>
        <v>4005087395.2053814</v>
      </c>
      <c r="O348" s="9">
        <f t="shared" si="220"/>
        <v>4089194230.5046935</v>
      </c>
      <c r="P348" s="9">
        <f t="shared" si="220"/>
        <v>4185396520.8973584</v>
      </c>
      <c r="Q348" s="9">
        <f t="shared" si="220"/>
        <v>4309053709.9140787</v>
      </c>
      <c r="R348" s="9"/>
      <c r="S348" s="9"/>
      <c r="T348" s="9"/>
      <c r="U348" s="9"/>
    </row>
    <row r="349" spans="2:21" collapsed="1" x14ac:dyDescent="0.25"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</row>
    <row r="350" spans="2:21" s="16" customFormat="1" x14ac:dyDescent="0.25">
      <c r="B350" s="17" t="s">
        <v>1126</v>
      </c>
      <c r="C350" s="17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</row>
    <row r="351" spans="2:21" hidden="1" outlineLevel="1" x14ac:dyDescent="0.25"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</row>
    <row r="352" spans="2:21" s="6" customFormat="1" hidden="1" outlineLevel="1" x14ac:dyDescent="0.25">
      <c r="B352" s="117" t="s">
        <v>1080</v>
      </c>
    </row>
    <row r="353" spans="2:17" s="6" customFormat="1" hidden="1" outlineLevel="1" x14ac:dyDescent="0.25">
      <c r="B353" s="118" t="s">
        <v>1080</v>
      </c>
      <c r="D353" s="6">
        <f t="shared" ref="D353:F354" si="221">+D72/D$71</f>
        <v>1</v>
      </c>
      <c r="E353" s="6">
        <f t="shared" si="221"/>
        <v>0.95087075177048752</v>
      </c>
      <c r="F353" s="6">
        <f t="shared" si="221"/>
        <v>0.9757818713257026</v>
      </c>
      <c r="G353" s="119">
        <v>0.97499999999999998</v>
      </c>
      <c r="H353" s="6">
        <f>+G353</f>
        <v>0.97499999999999998</v>
      </c>
      <c r="I353" s="6">
        <f t="shared" ref="I353:Q354" si="222">+H353</f>
        <v>0.97499999999999998</v>
      </c>
      <c r="J353" s="6">
        <f t="shared" si="222"/>
        <v>0.97499999999999998</v>
      </c>
      <c r="K353" s="6">
        <f t="shared" si="222"/>
        <v>0.97499999999999998</v>
      </c>
      <c r="L353" s="6">
        <f t="shared" si="222"/>
        <v>0.97499999999999998</v>
      </c>
      <c r="M353" s="6">
        <f t="shared" si="222"/>
        <v>0.97499999999999998</v>
      </c>
      <c r="N353" s="6">
        <f t="shared" si="222"/>
        <v>0.97499999999999998</v>
      </c>
      <c r="O353" s="6">
        <f t="shared" si="222"/>
        <v>0.97499999999999998</v>
      </c>
      <c r="P353" s="6">
        <f t="shared" si="222"/>
        <v>0.97499999999999998</v>
      </c>
      <c r="Q353" s="6">
        <f t="shared" si="222"/>
        <v>0.97499999999999998</v>
      </c>
    </row>
    <row r="354" spans="2:17" s="6" customFormat="1" hidden="1" outlineLevel="1" x14ac:dyDescent="0.25">
      <c r="B354" s="118" t="s">
        <v>1059</v>
      </c>
      <c r="D354" s="6">
        <f t="shared" si="221"/>
        <v>0</v>
      </c>
      <c r="E354" s="6">
        <f t="shared" si="221"/>
        <v>4.9129248229512451E-2</v>
      </c>
      <c r="F354" s="6">
        <f t="shared" si="221"/>
        <v>2.4218128674297405E-2</v>
      </c>
      <c r="G354" s="119">
        <f>100%-G353</f>
        <v>2.5000000000000022E-2</v>
      </c>
      <c r="H354" s="6">
        <f>+G354</f>
        <v>2.5000000000000022E-2</v>
      </c>
      <c r="I354" s="6">
        <f t="shared" si="222"/>
        <v>2.5000000000000022E-2</v>
      </c>
      <c r="J354" s="6">
        <f t="shared" si="222"/>
        <v>2.5000000000000022E-2</v>
      </c>
      <c r="K354" s="6">
        <f t="shared" si="222"/>
        <v>2.5000000000000022E-2</v>
      </c>
      <c r="L354" s="6">
        <f t="shared" si="222"/>
        <v>2.5000000000000022E-2</v>
      </c>
      <c r="M354" s="6">
        <f t="shared" si="222"/>
        <v>2.5000000000000022E-2</v>
      </c>
      <c r="N354" s="6">
        <f t="shared" si="222"/>
        <v>2.5000000000000022E-2</v>
      </c>
      <c r="O354" s="6">
        <f t="shared" si="222"/>
        <v>2.5000000000000022E-2</v>
      </c>
      <c r="P354" s="6">
        <f t="shared" si="222"/>
        <v>2.5000000000000022E-2</v>
      </c>
      <c r="Q354" s="6">
        <f t="shared" si="222"/>
        <v>2.5000000000000022E-2</v>
      </c>
    </row>
    <row r="355" spans="2:17" hidden="1" outlineLevel="1" x14ac:dyDescent="0.25"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</row>
    <row r="356" spans="2:17" s="102" customFormat="1" hidden="1" outlineLevel="1" x14ac:dyDescent="0.25">
      <c r="B356" s="102" t="s">
        <v>1499</v>
      </c>
      <c r="D356" s="102">
        <f>+D77</f>
        <v>1.0573197429737109</v>
      </c>
      <c r="E356" s="102">
        <f t="shared" ref="E356:Q356" si="223">+E77</f>
        <v>1.0483184022343222</v>
      </c>
      <c r="F356" s="102">
        <f t="shared" si="223"/>
        <v>1.2458603063660443</v>
      </c>
      <c r="G356" s="102">
        <f t="shared" si="223"/>
        <v>1.0047402876446143</v>
      </c>
      <c r="H356" s="102">
        <f t="shared" si="223"/>
        <v>0.99109487708809907</v>
      </c>
      <c r="I356" s="102">
        <f t="shared" si="223"/>
        <v>0.9250041880831632</v>
      </c>
      <c r="J356" s="102">
        <f t="shared" si="223"/>
        <v>0.96815009866866231</v>
      </c>
      <c r="K356" s="102">
        <f t="shared" si="223"/>
        <v>0.95758147992967968</v>
      </c>
      <c r="L356" s="102">
        <f t="shared" si="223"/>
        <v>0.94543522518509626</v>
      </c>
      <c r="M356" s="102">
        <f t="shared" si="223"/>
        <v>0.93251158277929125</v>
      </c>
      <c r="N356" s="102">
        <f t="shared" si="223"/>
        <v>0.92426883440231189</v>
      </c>
      <c r="O356" s="102">
        <f t="shared" si="223"/>
        <v>0.92234913388164819</v>
      </c>
      <c r="P356" s="102">
        <f t="shared" si="223"/>
        <v>0.92221547946433435</v>
      </c>
      <c r="Q356" s="102">
        <f t="shared" si="223"/>
        <v>0.92221547946433435</v>
      </c>
    </row>
    <row r="357" spans="2:17" hidden="1" outlineLevel="1" x14ac:dyDescent="0.25"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</row>
    <row r="358" spans="2:17" s="16" customFormat="1" hidden="1" outlineLevel="1" x14ac:dyDescent="0.25">
      <c r="B358" s="110" t="s">
        <v>1080</v>
      </c>
      <c r="C358" s="9" t="s">
        <v>11</v>
      </c>
      <c r="D358" s="12">
        <f>+D71</f>
        <v>1258660361437</v>
      </c>
      <c r="E358" s="12">
        <f>+E71</f>
        <v>1415181059075</v>
      </c>
      <c r="F358" s="12">
        <f>+F71</f>
        <v>1799539968307</v>
      </c>
      <c r="G358" s="12">
        <f>IF('Panel de control'!$B$107=1,Comparación!C34,G356*G62)</f>
        <v>1564816595080.4119</v>
      </c>
      <c r="H358" s="12">
        <f>IF('Panel de control'!$B$107=1,Comparación!D34,H356*H62)</f>
        <v>1707452563057</v>
      </c>
      <c r="I358" s="12">
        <f>IF('Panel de control'!$B$107=1,Comparación!E34,I356*I62)</f>
        <v>1712147197886.7397</v>
      </c>
      <c r="J358" s="12">
        <f>IF('Panel de control'!$B$107=1,Comparación!F34,J356*J62)</f>
        <v>1854255415311.3391</v>
      </c>
      <c r="K358" s="12">
        <f>IF('Panel de control'!$B$107=1,Comparación!G34,K356*K62)</f>
        <v>1902466056109.4341</v>
      </c>
      <c r="L358" s="12">
        <f>IF('Panel de control'!$B$107=1,Comparación!H34,L356*L62)</f>
        <v>1942417843287.7319</v>
      </c>
      <c r="M358" s="12">
        <f>IF('Panel de control'!$B$107=1,Comparación!I34,M356*M62)</f>
        <v>1983208617996.7742</v>
      </c>
      <c r="N358" s="12">
        <f>IF('Panel de control'!$B$107=1,Comparación!J34,N356*N62)</f>
        <v>2034772042064.6904</v>
      </c>
      <c r="O358" s="12">
        <f>IF('Panel de control'!$B$107=1,Comparación!K34,O356*O62)</f>
        <v>2101919519452.825</v>
      </c>
      <c r="P358" s="12">
        <f>IF('Panel de control'!$B$107=1,Comparación!L34,P356*P62)</f>
        <v>2175486702633.6736</v>
      </c>
      <c r="Q358" s="12">
        <f>IF('Panel de control'!$B$107=1,Comparación!M34,Q356*Q62)</f>
        <v>2186364136146.8418</v>
      </c>
    </row>
    <row r="359" spans="2:17" hidden="1" outlineLevel="1" x14ac:dyDescent="0.25">
      <c r="B359" s="109" t="s">
        <v>1080</v>
      </c>
      <c r="C359" s="9" t="s">
        <v>11</v>
      </c>
      <c r="D359" s="9">
        <f t="shared" ref="D359:F360" si="224">+D$358*D353</f>
        <v>1258660361437</v>
      </c>
      <c r="E359" s="9">
        <f t="shared" si="224"/>
        <v>1345654277534</v>
      </c>
      <c r="F359" s="9">
        <f t="shared" si="224"/>
        <v>1755958477800</v>
      </c>
      <c r="G359" s="9">
        <v>1561062000000</v>
      </c>
      <c r="H359" s="452">
        <v>1665301000000</v>
      </c>
      <c r="I359" s="9">
        <f>IF('Panel de control'!$B$107=1,Comparación!E35,I$358*I353)</f>
        <v>1709347197886.7397</v>
      </c>
      <c r="J359" s="9">
        <f>IF('Panel de control'!$B$107=1,Comparación!F35,J$358*J353)</f>
        <v>1851223015311.3391</v>
      </c>
      <c r="K359" s="9">
        <f>IF('Panel de control'!$B$107=1,Comparación!G35,K$358*K353)</f>
        <v>1899354813709.4341</v>
      </c>
      <c r="L359" s="9">
        <f>IF('Panel de control'!$B$107=1,Comparación!H35,L$358*L353)</f>
        <v>1939241264797.332</v>
      </c>
      <c r="M359" s="9">
        <f>IF('Panel de control'!$B$107=1,Comparación!I35,M$358*M353)</f>
        <v>1979965331358.0759</v>
      </c>
      <c r="N359" s="9">
        <f>IF('Panel de control'!$B$107=1,Comparación!J35,N$358*N353)</f>
        <v>2031444429973.386</v>
      </c>
      <c r="O359" s="9">
        <f>IF('Panel de control'!$B$107=1,Comparación!K35,O$358*O353)</f>
        <v>2098482096162.5076</v>
      </c>
      <c r="P359" s="9">
        <f>IF('Panel de control'!$B$107=1,Comparación!L35,P$358*P353)</f>
        <v>2171928969528.1951</v>
      </c>
      <c r="Q359" s="9">
        <f>IF('Panel de control'!$B$107=1,Comparación!M35,Q$358*Q353)</f>
        <v>2182788614375.8357</v>
      </c>
    </row>
    <row r="360" spans="2:17" hidden="1" outlineLevel="1" x14ac:dyDescent="0.25">
      <c r="B360" s="109" t="s">
        <v>1059</v>
      </c>
      <c r="C360" s="9" t="s">
        <v>11</v>
      </c>
      <c r="D360" s="9">
        <f t="shared" si="224"/>
        <v>0</v>
      </c>
      <c r="E360" s="9">
        <f t="shared" si="224"/>
        <v>69526781541</v>
      </c>
      <c r="F360" s="9">
        <f t="shared" si="224"/>
        <v>43581490507</v>
      </c>
      <c r="G360" s="9">
        <f>IF('Panel de control'!$B$107=1,Comparación!C36,G$358*G354)</f>
        <v>44932516712.717041</v>
      </c>
      <c r="H360" s="452">
        <v>42151000000</v>
      </c>
      <c r="I360" s="9">
        <f>IF('Panel de control'!$B$107=1,Comparación!E36,I$358*I354)</f>
        <v>2800000000</v>
      </c>
      <c r="J360" s="9">
        <f>IF('Panel de control'!$B$107=1,Comparación!F36,J$358*J354)</f>
        <v>3032400000</v>
      </c>
      <c r="K360" s="9">
        <f>IF('Panel de control'!$B$107=1,Comparación!G36,K$358*K354)</f>
        <v>3111242400</v>
      </c>
      <c r="L360" s="9">
        <f>IF('Panel de control'!$B$107=1,Comparación!H36,L$358*L354)</f>
        <v>3176578490.3999023</v>
      </c>
      <c r="M360" s="9">
        <f>IF('Panel de control'!$B$107=1,Comparación!I36,M$358*M354)</f>
        <v>3243286638.6982422</v>
      </c>
      <c r="N360" s="9">
        <f>IF('Panel de control'!$B$107=1,Comparación!J36,N$358*N354)</f>
        <v>3327612091.3044434</v>
      </c>
      <c r="O360" s="9">
        <f>IF('Panel de control'!$B$107=1,Comparación!K36,O$358*O354)</f>
        <v>3437423290.3173828</v>
      </c>
      <c r="P360" s="9">
        <f>IF('Panel de control'!$B$107=1,Comparación!L36,P$358*P354)</f>
        <v>3557733105.4785156</v>
      </c>
      <c r="Q360" s="9">
        <f>IF('Panel de control'!$B$107=1,Comparación!M36,Q$358*Q354)</f>
        <v>3575521771.0061035</v>
      </c>
    </row>
    <row r="361" spans="2:17" hidden="1" outlineLevel="1" x14ac:dyDescent="0.25"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</row>
    <row r="362" spans="2:17" hidden="1" outlineLevel="1" x14ac:dyDescent="0.25">
      <c r="B362" t="s">
        <v>1419</v>
      </c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</row>
    <row r="363" spans="2:17" s="116" customFormat="1" hidden="1" outlineLevel="1" x14ac:dyDescent="0.25">
      <c r="B363" s="259" t="s">
        <v>1420</v>
      </c>
      <c r="C363" s="116" t="s">
        <v>1421</v>
      </c>
      <c r="D363" s="127">
        <f>+'Panel de control'!D7*30</f>
        <v>75</v>
      </c>
      <c r="E363" s="116">
        <f t="shared" ref="E363:Q363" si="225">+D363</f>
        <v>75</v>
      </c>
      <c r="F363" s="116">
        <f t="shared" si="225"/>
        <v>75</v>
      </c>
      <c r="G363" s="116">
        <f>+F363</f>
        <v>75</v>
      </c>
      <c r="H363" s="116">
        <f>+G363</f>
        <v>75</v>
      </c>
      <c r="I363" s="116">
        <f t="shared" si="225"/>
        <v>75</v>
      </c>
      <c r="J363" s="116">
        <f t="shared" si="225"/>
        <v>75</v>
      </c>
      <c r="K363" s="116">
        <f t="shared" si="225"/>
        <v>75</v>
      </c>
      <c r="L363" s="116">
        <f t="shared" si="225"/>
        <v>75</v>
      </c>
      <c r="M363" s="116">
        <f t="shared" si="225"/>
        <v>75</v>
      </c>
      <c r="N363" s="116">
        <f t="shared" si="225"/>
        <v>75</v>
      </c>
      <c r="O363" s="116">
        <f t="shared" si="225"/>
        <v>75</v>
      </c>
      <c r="P363" s="116">
        <f t="shared" si="225"/>
        <v>75</v>
      </c>
      <c r="Q363" s="116">
        <f t="shared" si="225"/>
        <v>75</v>
      </c>
    </row>
    <row r="364" spans="2:17" hidden="1" outlineLevel="1" x14ac:dyDescent="0.25">
      <c r="B364" s="108" t="s">
        <v>1422</v>
      </c>
      <c r="C364" s="9" t="s">
        <v>11</v>
      </c>
      <c r="D364" s="9">
        <f t="shared" ref="D364:Q364" si="226">+D197/360*D363</f>
        <v>262220908632.70834</v>
      </c>
      <c r="E364" s="9">
        <f t="shared" si="226"/>
        <v>294829387307.29163</v>
      </c>
      <c r="F364" s="9">
        <f t="shared" si="226"/>
        <v>374904160063.95837</v>
      </c>
      <c r="G364" s="9">
        <f t="shared" si="226"/>
        <v>334582190981.81604</v>
      </c>
      <c r="H364" s="9">
        <f t="shared" si="226"/>
        <v>355719166666.66669</v>
      </c>
      <c r="I364" s="9">
        <f t="shared" si="226"/>
        <v>356697332893.07074</v>
      </c>
      <c r="J364" s="9">
        <f t="shared" si="226"/>
        <v>386303211523.19562</v>
      </c>
      <c r="K364" s="9">
        <f t="shared" si="226"/>
        <v>396347095022.79877</v>
      </c>
      <c r="L364" s="9">
        <f t="shared" si="226"/>
        <v>404670384018.27753</v>
      </c>
      <c r="M364" s="9">
        <f t="shared" si="226"/>
        <v>413168462082.66125</v>
      </c>
      <c r="N364" s="9">
        <f t="shared" si="226"/>
        <v>423910842096.81049</v>
      </c>
      <c r="O364" s="9">
        <f t="shared" si="226"/>
        <v>437899899886.00519</v>
      </c>
      <c r="P364" s="9">
        <f t="shared" si="226"/>
        <v>453226396382.01532</v>
      </c>
      <c r="Q364" s="9">
        <f t="shared" si="226"/>
        <v>455492528363.92535</v>
      </c>
    </row>
    <row r="365" spans="2:17" s="6" customFormat="1" hidden="1" outlineLevel="1" x14ac:dyDescent="0.25">
      <c r="B365" s="10" t="s">
        <v>1423</v>
      </c>
      <c r="C365" s="6" t="s">
        <v>12</v>
      </c>
      <c r="D365" s="6">
        <f t="shared" ref="D365:Q365" si="227">+D12/D364</f>
        <v>4.1300004806897939E-2</v>
      </c>
      <c r="E365" s="6">
        <f t="shared" si="227"/>
        <v>6.9910287855793535E-2</v>
      </c>
      <c r="F365" s="6">
        <f t="shared" si="227"/>
        <v>0.10559290923911446</v>
      </c>
      <c r="G365" s="6">
        <f t="shared" si="227"/>
        <v>0.18435380118105732</v>
      </c>
      <c r="H365" s="6">
        <f t="shared" si="227"/>
        <v>0.61546450500476524</v>
      </c>
      <c r="I365" s="6">
        <f t="shared" si="227"/>
        <v>0.71101967372182395</v>
      </c>
      <c r="J365" s="6">
        <f t="shared" si="227"/>
        <v>0.8794799061624754</v>
      </c>
      <c r="K365" s="6">
        <f t="shared" si="227"/>
        <v>1.0034497456951958</v>
      </c>
      <c r="L365" s="6">
        <f t="shared" si="227"/>
        <v>1.4151060899766086</v>
      </c>
      <c r="M365" s="6">
        <f t="shared" si="227"/>
        <v>1.5656235558247229</v>
      </c>
      <c r="N365" s="6">
        <f t="shared" si="227"/>
        <v>1.7610717082840837</v>
      </c>
      <c r="O365" s="6">
        <f t="shared" si="227"/>
        <v>1.9657971595333472</v>
      </c>
      <c r="P365" s="6">
        <f t="shared" si="227"/>
        <v>2.164751861071494</v>
      </c>
      <c r="Q365" s="6">
        <f t="shared" si="227"/>
        <v>2.3556111687206873</v>
      </c>
    </row>
    <row r="366" spans="2:17" collapsed="1" x14ac:dyDescent="0.25"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</row>
    <row r="367" spans="2:17" s="16" customFormat="1" x14ac:dyDescent="0.25">
      <c r="B367" s="17" t="s">
        <v>1127</v>
      </c>
      <c r="C367" s="17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</row>
    <row r="368" spans="2:17" hidden="1" outlineLevel="1" x14ac:dyDescent="0.25"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</row>
    <row r="369" spans="2:17" s="16" customFormat="1" hidden="1" outlineLevel="1" x14ac:dyDescent="0.25">
      <c r="B369" s="110" t="s">
        <v>1083</v>
      </c>
      <c r="C369" s="9" t="s">
        <v>11</v>
      </c>
      <c r="D369" s="12">
        <f>SUM(D370:D381)</f>
        <v>55116842808</v>
      </c>
      <c r="E369" s="12">
        <f t="shared" ref="E369:M369" si="228">SUM(E370:E381)</f>
        <v>58019159065</v>
      </c>
      <c r="F369" s="12">
        <f t="shared" si="228"/>
        <v>52360396508</v>
      </c>
      <c r="G369" s="12">
        <f t="shared" si="228"/>
        <v>63790191623.589302</v>
      </c>
      <c r="H369" s="12">
        <f t="shared" si="228"/>
        <v>76276050690.438995</v>
      </c>
      <c r="I369" s="12">
        <f t="shared" si="228"/>
        <v>80852224637.515747</v>
      </c>
      <c r="J369" s="12">
        <f t="shared" si="228"/>
        <v>84490302127.203934</v>
      </c>
      <c r="K369" s="12">
        <f t="shared" si="228"/>
        <v>87869347164.772095</v>
      </c>
      <c r="L369" s="12">
        <f t="shared" si="228"/>
        <v>91383536992.417404</v>
      </c>
      <c r="M369" s="12">
        <f t="shared" si="228"/>
        <v>95038276891.400131</v>
      </c>
      <c r="N369" s="12">
        <f>SUM(N370:N381)</f>
        <v>98839188338.920715</v>
      </c>
      <c r="O369" s="12">
        <f>SUM(O370:O381)</f>
        <v>102792117655.49808</v>
      </c>
      <c r="P369" s="12">
        <f>SUM(P370:P381)</f>
        <v>106903144998.2292</v>
      </c>
      <c r="Q369" s="12">
        <f>SUM(Q370:Q381)</f>
        <v>111178593713.76489</v>
      </c>
    </row>
    <row r="370" spans="2:17" hidden="1" outlineLevel="1" x14ac:dyDescent="0.25">
      <c r="B370" s="109" t="s">
        <v>1084</v>
      </c>
      <c r="C370" s="9" t="s">
        <v>11</v>
      </c>
      <c r="D370" s="9">
        <f t="shared" ref="D370:F381" si="229">+D81</f>
        <v>45736365551</v>
      </c>
      <c r="E370" s="9">
        <f t="shared" si="229"/>
        <v>29123076065</v>
      </c>
      <c r="F370" s="9">
        <f t="shared" si="229"/>
        <v>35904439728</v>
      </c>
      <c r="G370" s="258">
        <f>IF('Panel de control'!$B$107=1,PRY!G384,36100000000)-7463000000</f>
        <v>41362474477.382294</v>
      </c>
      <c r="H370" s="9">
        <f>IF('Panel de control'!$B$107=1,H384,G370*(1+H$275))</f>
        <v>49447389457</v>
      </c>
      <c r="I370" s="9">
        <f>IF('Panel de control'!$B$107=1,I384,H370*(1+I$275))</f>
        <v>55404624288.868782</v>
      </c>
      <c r="J370" s="9">
        <f>IF('Panel de control'!$B$107=1,J384,I370*(1+J$275))</f>
        <v>57897832381.867874</v>
      </c>
      <c r="K370" s="9">
        <f>IF('Panel de control'!$B$107=1,K384,J370*(1+K$275))</f>
        <v>60213745677.142586</v>
      </c>
      <c r="L370" s="9">
        <f>IF('Panel de control'!$B$107=1,L384,K370*(1+L$275))</f>
        <v>62622295504.228294</v>
      </c>
      <c r="M370" s="9">
        <f>IF('Panel de control'!$B$107=1,M384,L370*(1+M$275))</f>
        <v>65127187324.397423</v>
      </c>
      <c r="N370" s="9">
        <f>IF('Panel de control'!$B$107=1,N384,M370*(1+N$275))</f>
        <v>67732274817.373322</v>
      </c>
      <c r="O370" s="9">
        <f>IF('Panel de control'!$B$107=1,O384,N370*(1+O$275))</f>
        <v>70441565810.068253</v>
      </c>
      <c r="P370" s="9">
        <f>IF('Panel de control'!$B$107=1,P384,O370*(1+P$275))</f>
        <v>73259228442.470993</v>
      </c>
      <c r="Q370" s="9">
        <f>IF('Panel de control'!$B$107=1,Q384,P370*(1+Q$275))</f>
        <v>76189597580.16983</v>
      </c>
    </row>
    <row r="371" spans="2:17" hidden="1" outlineLevel="1" x14ac:dyDescent="0.25">
      <c r="B371" s="109" t="s">
        <v>1085</v>
      </c>
      <c r="C371" s="9" t="s">
        <v>11</v>
      </c>
      <c r="D371" s="9">
        <f t="shared" si="229"/>
        <v>1533788346</v>
      </c>
      <c r="E371" s="9">
        <f t="shared" si="229"/>
        <v>6055376476</v>
      </c>
      <c r="F371" s="9">
        <f t="shared" si="229"/>
        <v>5502047988</v>
      </c>
      <c r="G371" s="9">
        <f>IF('Panel de control'!$B$107=1,G385,F371*(1+G$275))</f>
        <v>7482085938.300499</v>
      </c>
      <c r="H371" s="9">
        <f>IF('Panel de control'!$B$107=1,H385,G371*(1+H$275))</f>
        <v>13612495299.495375</v>
      </c>
      <c r="I371" s="9">
        <f>IF('Panel de control'!$B$107=1,I385,H371*(1+I$275))</f>
        <v>8490284318.7033072</v>
      </c>
      <c r="J371" s="9">
        <f>IF('Panel de control'!$B$107=1,J385,I371*(1+J$275))</f>
        <v>8872347113.0449562</v>
      </c>
      <c r="K371" s="9">
        <f>IF('Panel de control'!$B$107=1,K385,J371*(1+K$275))</f>
        <v>9227240997.5667534</v>
      </c>
      <c r="L371" s="9">
        <f>IF('Panel de control'!$B$107=1,L385,K371*(1+L$275))</f>
        <v>9596330637.4694233</v>
      </c>
      <c r="M371" s="9">
        <f>IF('Panel de control'!$B$107=1,M385,L371*(1+M$275))</f>
        <v>9980183862.9682007</v>
      </c>
      <c r="N371" s="9">
        <f>IF('Panel de control'!$B$107=1,N385,M371*(1+N$275))</f>
        <v>10379391217.486929</v>
      </c>
      <c r="O371" s="9">
        <f>IF('Panel de control'!$B$107=1,O385,N371*(1+O$275))</f>
        <v>10794566866.186405</v>
      </c>
      <c r="P371" s="9">
        <f>IF('Panel de control'!$B$107=1,P385,O371*(1+P$275))</f>
        <v>11226349540.833862</v>
      </c>
      <c r="Q371" s="9">
        <f>IF('Panel de control'!$B$107=1,Q385,P371*(1+Q$275))</f>
        <v>11675403522.467218</v>
      </c>
    </row>
    <row r="372" spans="2:17" hidden="1" outlineLevel="1" x14ac:dyDescent="0.25">
      <c r="B372" s="109" t="s">
        <v>232</v>
      </c>
      <c r="C372" s="9" t="s">
        <v>11</v>
      </c>
      <c r="D372" s="9">
        <f t="shared" si="229"/>
        <v>5035383009</v>
      </c>
      <c r="E372" s="9">
        <f t="shared" si="229"/>
        <v>17389895401</v>
      </c>
      <c r="F372" s="9">
        <f t="shared" si="229"/>
        <v>5930368525</v>
      </c>
      <c r="G372" s="9">
        <f>IF('Panel de control'!$B$107=1,G386,F372*(1+G$275))</f>
        <v>8064547427.9062891</v>
      </c>
      <c r="H372" s="9">
        <f>IF('Panel de control'!$B$107=1,H386,G372*(1+H$275))</f>
        <v>7127261354.5656004</v>
      </c>
      <c r="I372" s="9">
        <f>IF('Panel de control'!$B$107=1,I386,H372*(1+I$275))</f>
        <v>9151231505.3874378</v>
      </c>
      <c r="J372" s="9">
        <f>IF('Panel de control'!$B$107=1,J386,I372*(1+J$275))</f>
        <v>9563036923.1298714</v>
      </c>
      <c r="K372" s="9">
        <f>IF('Panel de control'!$B$107=1,K386,J372*(1+K$275))</f>
        <v>9945558400.0550671</v>
      </c>
      <c r="L372" s="9">
        <f>IF('Panel de control'!$B$107=1,L386,K372*(1+L$275))</f>
        <v>10343380736.057268</v>
      </c>
      <c r="M372" s="9">
        <f>IF('Panel de control'!$B$107=1,M386,L372*(1+M$275))</f>
        <v>10757115965.499559</v>
      </c>
      <c r="N372" s="9">
        <f>IF('Panel de control'!$B$107=1,N386,M372*(1+N$275))</f>
        <v>11187400604.119543</v>
      </c>
      <c r="O372" s="9">
        <f>IF('Panel de control'!$B$107=1,O386,N372*(1+O$275))</f>
        <v>11634896628.284325</v>
      </c>
      <c r="P372" s="9">
        <f>IF('Panel de control'!$B$107=1,P386,O372*(1+P$275))</f>
        <v>12100292493.415699</v>
      </c>
      <c r="Q372" s="9">
        <f>IF('Panel de control'!$B$107=1,Q386,P372*(1+Q$275))</f>
        <v>12584304193.152327</v>
      </c>
    </row>
    <row r="373" spans="2:17" hidden="1" outlineLevel="1" x14ac:dyDescent="0.25">
      <c r="B373" s="109" t="s">
        <v>207</v>
      </c>
      <c r="C373" s="9" t="s">
        <v>11</v>
      </c>
      <c r="D373" s="9">
        <f t="shared" si="229"/>
        <v>856613609</v>
      </c>
      <c r="E373" s="9">
        <f t="shared" si="229"/>
        <v>2367548655</v>
      </c>
      <c r="F373" s="9">
        <f t="shared" si="229"/>
        <v>2797673542</v>
      </c>
      <c r="G373" s="9">
        <f>IF('Panel de control'!$B$107=1,G387,F373*(1+G$275))</f>
        <v>3804480425.1448393</v>
      </c>
      <c r="H373" s="9">
        <f>IF('Panel de control'!$B$107=1,H387,G373*(1+H$275))</f>
        <v>3362312212.896965</v>
      </c>
      <c r="I373" s="9">
        <f>IF('Panel de control'!$B$107=1,I387,H373*(1+I$275))</f>
        <v>4317127704.8654003</v>
      </c>
      <c r="J373" s="9">
        <f>IF('Panel de control'!$B$107=1,J387,I373*(1+J$275))</f>
        <v>4511398451.5843439</v>
      </c>
      <c r="K373" s="9">
        <f>IF('Panel de control'!$B$107=1,K387,J373*(1+K$275))</f>
        <v>4691854389.6477175</v>
      </c>
      <c r="L373" s="9">
        <f>IF('Panel de control'!$B$107=1,L387,K373*(1+L$275))</f>
        <v>4879528565.2336254</v>
      </c>
      <c r="M373" s="9">
        <f>IF('Panel de control'!$B$107=1,M387,L373*(1+M$275))</f>
        <v>5074709707.8429708</v>
      </c>
      <c r="N373" s="9">
        <f>IF('Panel de control'!$B$107=1,N387,M373*(1+N$275))</f>
        <v>5277698096.1566896</v>
      </c>
      <c r="O373" s="9">
        <f>IF('Panel de control'!$B$107=1,O387,N373*(1+O$275))</f>
        <v>5488806020.0029573</v>
      </c>
      <c r="P373" s="9">
        <f>IF('Panel de control'!$B$107=1,P387,O373*(1+P$275))</f>
        <v>5708358260.8030767</v>
      </c>
      <c r="Q373" s="9">
        <f>IF('Panel de control'!$B$107=1,Q387,P373*(1+Q$275))</f>
        <v>5936692591.235199</v>
      </c>
    </row>
    <row r="374" spans="2:17" hidden="1" outlineLevel="1" x14ac:dyDescent="0.25">
      <c r="B374" s="109" t="s">
        <v>505</v>
      </c>
      <c r="C374" s="9" t="s">
        <v>11</v>
      </c>
      <c r="D374" s="9">
        <f t="shared" si="229"/>
        <v>98336380</v>
      </c>
      <c r="E374" s="9">
        <f t="shared" si="229"/>
        <v>1155775064</v>
      </c>
      <c r="F374" s="9">
        <f t="shared" si="229"/>
        <v>338442284</v>
      </c>
      <c r="G374" s="9">
        <f>IF('Panel de control'!$B$107=1,G388,F374*(1+G$275))</f>
        <v>460238489.29808789</v>
      </c>
      <c r="H374" s="9">
        <f>IF('Panel de control'!$B$107=1,H388,G374*(1+H$275))</f>
        <v>406748181.21933079</v>
      </c>
      <c r="I374" s="9">
        <f>IF('Panel de control'!$B$107=1,I388,H374*(1+I$275))</f>
        <v>522254844.54123068</v>
      </c>
      <c r="J374" s="9">
        <f>IF('Panel de control'!$B$107=1,J388,I374*(1+J$275))</f>
        <v>545756312.54558611</v>
      </c>
      <c r="K374" s="9">
        <f>IF('Panel de control'!$B$107=1,K388,J374*(1+K$275))</f>
        <v>567586565.04740942</v>
      </c>
      <c r="L374" s="9">
        <f>IF('Panel de control'!$B$107=1,L388,K374*(1+L$275))</f>
        <v>590290027.64930582</v>
      </c>
      <c r="M374" s="9">
        <f>IF('Panel de control'!$B$107=1,M388,L374*(1+M$275))</f>
        <v>613901628.75527811</v>
      </c>
      <c r="N374" s="9">
        <f>IF('Panel de control'!$B$107=1,N388,M374*(1+N$275))</f>
        <v>638457693.90548921</v>
      </c>
      <c r="O374" s="9">
        <f>IF('Panel de control'!$B$107=1,O388,N374*(1+O$275))</f>
        <v>663996001.66170883</v>
      </c>
      <c r="P374" s="9">
        <f>IF('Panel de control'!$B$107=1,P388,O374*(1+P$275))</f>
        <v>690555841.72817719</v>
      </c>
      <c r="Q374" s="9">
        <f>IF('Panel de control'!$B$107=1,Q388,P374*(1+Q$275))</f>
        <v>718178075.3973043</v>
      </c>
    </row>
    <row r="375" spans="2:17" hidden="1" outlineLevel="1" x14ac:dyDescent="0.25">
      <c r="B375" s="109" t="s">
        <v>1086</v>
      </c>
      <c r="C375" s="9" t="s">
        <v>11</v>
      </c>
      <c r="D375" s="9">
        <f t="shared" si="229"/>
        <v>300089869</v>
      </c>
      <c r="E375" s="9">
        <f t="shared" si="229"/>
        <v>645947837</v>
      </c>
      <c r="F375" s="9">
        <f t="shared" si="229"/>
        <v>654851891</v>
      </c>
      <c r="G375" s="9">
        <f>IF('Panel de control'!$B$107=1,G389,F375*(1+G$275))</f>
        <v>890515338.28981042</v>
      </c>
      <c r="H375" s="9">
        <f>IF('Panel de control'!$B$107=1,H389,G375*(1+H$275))</f>
        <v>787016954.51354849</v>
      </c>
      <c r="I375" s="9">
        <f>IF('Panel de control'!$B$107=1,I389,H375*(1+I$275))</f>
        <v>1010510768.6004622</v>
      </c>
      <c r="J375" s="9">
        <f>IF('Panel de control'!$B$107=1,J389,I375*(1+J$275))</f>
        <v>1055983753.187483</v>
      </c>
      <c r="K375" s="9">
        <f>IF('Panel de control'!$B$107=1,K389,J375*(1+K$275))</f>
        <v>1098223103.3149822</v>
      </c>
      <c r="L375" s="9">
        <f>IF('Panel de control'!$B$107=1,L389,K375*(1+L$275))</f>
        <v>1142152027.4475815</v>
      </c>
      <c r="M375" s="9">
        <f>IF('Panel de control'!$B$107=1,M389,L375*(1+M$275))</f>
        <v>1187838108.5454848</v>
      </c>
      <c r="N375" s="9">
        <f>IF('Panel de control'!$B$107=1,N389,M375*(1+N$275))</f>
        <v>1235351632.8873043</v>
      </c>
      <c r="O375" s="9">
        <f>IF('Panel de control'!$B$107=1,O389,N375*(1+O$275))</f>
        <v>1284765698.2027965</v>
      </c>
      <c r="P375" s="9">
        <f>IF('Panel de control'!$B$107=1,P389,O375*(1+P$275))</f>
        <v>1336156326.1309085</v>
      </c>
      <c r="Q375" s="9">
        <f>IF('Panel de control'!$B$107=1,Q389,P375*(1+Q$275))</f>
        <v>1389602579.1761448</v>
      </c>
    </row>
    <row r="376" spans="2:17" hidden="1" outlineLevel="1" x14ac:dyDescent="0.25">
      <c r="B376" s="109" t="s">
        <v>1087</v>
      </c>
      <c r="C376" s="9" t="s">
        <v>11</v>
      </c>
      <c r="D376" s="9">
        <f t="shared" si="229"/>
        <v>383037235</v>
      </c>
      <c r="E376" s="9">
        <f t="shared" si="229"/>
        <v>260890987</v>
      </c>
      <c r="F376" s="9">
        <f t="shared" si="229"/>
        <v>168163867</v>
      </c>
      <c r="G376" s="9">
        <f>IF('Panel de control'!$B$107=1,G390,F376*(1+G$275))</f>
        <v>228681485.03159425</v>
      </c>
      <c r="H376" s="9">
        <f>IF('Panel de control'!$B$107=1,H390,G376*(1+H$275))</f>
        <v>202103431.75990221</v>
      </c>
      <c r="I376" s="9">
        <f>IF('Panel de control'!$B$107=1,I390,H376*(1+I$275))</f>
        <v>259495926.98510802</v>
      </c>
      <c r="J376" s="9">
        <f>IF('Panel de control'!$B$107=1,J390,I376*(1+J$275))</f>
        <v>271173243.69943786</v>
      </c>
      <c r="K376" s="9">
        <f>IF('Panel de control'!$B$107=1,K390,J376*(1+K$275))</f>
        <v>282020173.44741535</v>
      </c>
      <c r="L376" s="9">
        <f>IF('Panel de control'!$B$107=1,L390,K376*(1+L$275))</f>
        <v>293300980.38531196</v>
      </c>
      <c r="M376" s="9">
        <f>IF('Panel de control'!$B$107=1,M390,L376*(1+M$275))</f>
        <v>305033019.60072446</v>
      </c>
      <c r="N376" s="9">
        <f>IF('Panel de control'!$B$107=1,N390,M376*(1+N$275))</f>
        <v>317234340.38475347</v>
      </c>
      <c r="O376" s="9">
        <f>IF('Panel de control'!$B$107=1,O390,N376*(1+O$275))</f>
        <v>329923714.00014359</v>
      </c>
      <c r="P376" s="9">
        <f>IF('Panel de control'!$B$107=1,P390,O376*(1+P$275))</f>
        <v>343120662.56014937</v>
      </c>
      <c r="Q376" s="9">
        <f>IF('Panel de control'!$B$107=1,Q390,P376*(1+Q$275))</f>
        <v>356845489.06255531</v>
      </c>
    </row>
    <row r="377" spans="2:17" hidden="1" outlineLevel="1" x14ac:dyDescent="0.25">
      <c r="B377" s="109" t="s">
        <v>1088</v>
      </c>
      <c r="C377" s="9" t="s">
        <v>11</v>
      </c>
      <c r="D377" s="9">
        <f t="shared" si="229"/>
        <v>928146955</v>
      </c>
      <c r="E377" s="9">
        <f t="shared" si="229"/>
        <v>88824766</v>
      </c>
      <c r="F377" s="9">
        <f t="shared" si="229"/>
        <v>354194514</v>
      </c>
      <c r="G377" s="9">
        <f>IF('Panel de control'!$B$107=1,G391,F377*(1+G$275))</f>
        <v>481659519.94648057</v>
      </c>
      <c r="H377" s="9">
        <f>IF('Panel de control'!$B$107=1,H391,G377*(1+H$275))</f>
        <v>425679594.95086259</v>
      </c>
      <c r="I377" s="9">
        <f>IF('Panel de control'!$B$107=1,I391,H377*(1+I$275))</f>
        <v>546562322.71032298</v>
      </c>
      <c r="J377" s="9">
        <f>IF('Panel de control'!$B$107=1,J391,I377*(1+J$275))</f>
        <v>571157627.23228741</v>
      </c>
      <c r="K377" s="9">
        <f>IF('Panel de control'!$B$107=1,K391,J377*(1+K$275))</f>
        <v>594003932.32157886</v>
      </c>
      <c r="L377" s="9">
        <f>IF('Panel de control'!$B$107=1,L391,K377*(1+L$275))</f>
        <v>617764089.61444199</v>
      </c>
      <c r="M377" s="9">
        <f>IF('Panel de control'!$B$107=1,M391,L377*(1+M$275))</f>
        <v>642474653.19901967</v>
      </c>
      <c r="N377" s="9">
        <f>IF('Panel de control'!$B$107=1,N391,M377*(1+N$275))</f>
        <v>668173639.32698059</v>
      </c>
      <c r="O377" s="9">
        <f>IF('Panel de control'!$B$107=1,O391,N377*(1+O$275))</f>
        <v>694900584.90005982</v>
      </c>
      <c r="P377" s="9">
        <f>IF('Panel de control'!$B$107=1,P391,O377*(1+P$275))</f>
        <v>722696608.29606223</v>
      </c>
      <c r="Q377" s="9">
        <f>IF('Panel de control'!$B$107=1,Q391,P377*(1+Q$275))</f>
        <v>751604472.62790477</v>
      </c>
    </row>
    <row r="378" spans="2:17" hidden="1" outlineLevel="1" x14ac:dyDescent="0.25">
      <c r="B378" s="109" t="s">
        <v>154</v>
      </c>
      <c r="C378" s="9" t="s">
        <v>11</v>
      </c>
      <c r="D378" s="9">
        <f t="shared" si="229"/>
        <v>49118822</v>
      </c>
      <c r="E378" s="9">
        <f t="shared" si="229"/>
        <v>32658742</v>
      </c>
      <c r="F378" s="9">
        <f t="shared" si="229"/>
        <v>215077</v>
      </c>
      <c r="G378" s="13">
        <v>50000000</v>
      </c>
      <c r="H378" s="9">
        <f>+G378*(1+H$273)</f>
        <v>51749999.999999993</v>
      </c>
      <c r="I378" s="9">
        <f t="shared" ref="I378:Q378" si="230">+H378*(1+I$273)</f>
        <v>54523800</v>
      </c>
      <c r="J378" s="9">
        <f t="shared" si="230"/>
        <v>56704752</v>
      </c>
      <c r="K378" s="9">
        <f t="shared" si="230"/>
        <v>58405894.560000002</v>
      </c>
      <c r="L378" s="9">
        <f t="shared" si="230"/>
        <v>60158071.396800004</v>
      </c>
      <c r="M378" s="9">
        <f t="shared" si="230"/>
        <v>61962813.538704008</v>
      </c>
      <c r="N378" s="9">
        <f t="shared" si="230"/>
        <v>63821697.94486513</v>
      </c>
      <c r="O378" s="9">
        <f t="shared" si="230"/>
        <v>65736348.883211084</v>
      </c>
      <c r="P378" s="9">
        <f t="shared" si="230"/>
        <v>67708439.349707425</v>
      </c>
      <c r="Q378" s="9">
        <f t="shared" si="230"/>
        <v>69739692.530198649</v>
      </c>
    </row>
    <row r="379" spans="2:17" hidden="1" outlineLevel="1" x14ac:dyDescent="0.25">
      <c r="B379" s="109" t="s">
        <v>1089</v>
      </c>
      <c r="C379" s="9" t="s">
        <v>11</v>
      </c>
      <c r="D379" s="9">
        <f t="shared" si="229"/>
        <v>192053854</v>
      </c>
      <c r="E379" s="9">
        <f t="shared" si="229"/>
        <v>657682178</v>
      </c>
      <c r="F379" s="9">
        <f t="shared" si="229"/>
        <v>700193460</v>
      </c>
      <c r="G379" s="9">
        <f>IF('Panel de control'!$B$107=1,G393,F379*(1+G$275))</f>
        <v>952174109.09211659</v>
      </c>
      <c r="H379" s="9">
        <f>IF('Panel de control'!$B$107=1,H393,G379*(1+H$275))</f>
        <v>841509556.63882196</v>
      </c>
      <c r="I379" s="9">
        <f>IF('Panel de control'!$B$107=1,I393,H379*(1+I$275))</f>
        <v>1080477954.1113322</v>
      </c>
      <c r="J379" s="9">
        <f>IF('Panel de control'!$B$107=1,J393,I379*(1+J$275))</f>
        <v>1129099462.0463419</v>
      </c>
      <c r="K379" s="9">
        <f>IF('Panel de control'!$B$107=1,K393,J379*(1+K$275))</f>
        <v>1174263440.5281956</v>
      </c>
      <c r="L379" s="9">
        <f>IF('Panel de control'!$B$107=1,L393,K379*(1+L$275))</f>
        <v>1221233978.1493235</v>
      </c>
      <c r="M379" s="9">
        <f>IF('Panel de control'!$B$107=1,M393,L379*(1+M$275))</f>
        <v>1270083337.2752964</v>
      </c>
      <c r="N379" s="9">
        <f>IF('Panel de control'!$B$107=1,N393,M379*(1+N$275))</f>
        <v>1320886670.7663083</v>
      </c>
      <c r="O379" s="9">
        <f>IF('Panel de control'!$B$107=1,O393,N379*(1+O$275))</f>
        <v>1373722137.5969605</v>
      </c>
      <c r="P379" s="9">
        <f>IF('Panel de control'!$B$107=1,P393,O379*(1+P$275))</f>
        <v>1428671023.1008391</v>
      </c>
      <c r="Q379" s="9">
        <f>IF('Panel de control'!$B$107=1,Q393,P379*(1+Q$275))</f>
        <v>1485817864.0248728</v>
      </c>
    </row>
    <row r="380" spans="2:17" hidden="1" outlineLevel="1" x14ac:dyDescent="0.25">
      <c r="B380" s="109" t="s">
        <v>540</v>
      </c>
      <c r="C380" s="9" t="s">
        <v>11</v>
      </c>
      <c r="D380" s="9">
        <f t="shared" si="229"/>
        <v>0</v>
      </c>
      <c r="E380" s="9">
        <f t="shared" si="229"/>
        <v>167531000</v>
      </c>
      <c r="F380" s="9">
        <f t="shared" si="229"/>
        <v>0</v>
      </c>
      <c r="G380" s="9">
        <f>IF('Panel de control'!$B$107=1,G394,F380*(1+G$275))</f>
        <v>0</v>
      </c>
      <c r="H380" s="9">
        <f>IF('Panel de control'!$B$107=1,H394,G380*(1+H$275))</f>
        <v>0</v>
      </c>
      <c r="I380" s="9">
        <f>IF('Panel de control'!$B$107=1,I394,H380*(1+I$275))</f>
        <v>0</v>
      </c>
      <c r="J380" s="9">
        <f>IF('Panel de control'!$B$107=1,J394,I380*(1+J$275))</f>
        <v>0</v>
      </c>
      <c r="K380" s="9">
        <f>IF('Panel de control'!$B$107=1,K394,J380*(1+K$275))</f>
        <v>0</v>
      </c>
      <c r="L380" s="9">
        <f>IF('Panel de control'!$B$107=1,L394,K380*(1+L$275))</f>
        <v>0</v>
      </c>
      <c r="M380" s="9">
        <f>IF('Panel de control'!$B$107=1,M394,L380*(1+M$275))</f>
        <v>0</v>
      </c>
      <c r="N380" s="9">
        <f>IF('Panel de control'!$B$107=1,N394,M380*(1+N$275))</f>
        <v>0</v>
      </c>
      <c r="O380" s="9">
        <f>IF('Panel de control'!$B$107=1,O394,N380*(1+O$275))</f>
        <v>0</v>
      </c>
      <c r="P380" s="9">
        <f>IF('Panel de control'!$B$107=1,P394,O380*(1+P$275))</f>
        <v>0</v>
      </c>
      <c r="Q380" s="9">
        <f>IF('Panel de control'!$B$107=1,Q394,P380*(1+Q$275))</f>
        <v>0</v>
      </c>
    </row>
    <row r="381" spans="2:17" hidden="1" outlineLevel="1" x14ac:dyDescent="0.25">
      <c r="B381" s="109" t="s">
        <v>1090</v>
      </c>
      <c r="C381" s="9" t="s">
        <v>11</v>
      </c>
      <c r="D381" s="9">
        <f t="shared" si="229"/>
        <v>3909178</v>
      </c>
      <c r="E381" s="9">
        <f t="shared" si="229"/>
        <v>73951894</v>
      </c>
      <c r="F381" s="9">
        <f t="shared" si="229"/>
        <v>9805632</v>
      </c>
      <c r="G381" s="9">
        <f>IF('Panel de control'!$B$107=1,G395,F381*(1+G$275))</f>
        <v>13334413.197297143</v>
      </c>
      <c r="H381" s="9">
        <f>IF('Panel de control'!$B$107=1,H395,G381*(1+H$275))</f>
        <v>11784647.398568168</v>
      </c>
      <c r="I381" s="9">
        <f>IF('Panel de control'!$B$107=1,I395,H381*(1+I$275))</f>
        <v>15131202.742351534</v>
      </c>
      <c r="J381" s="9">
        <f>IF('Panel de control'!$B$107=1,J395,I381*(1+J$275))</f>
        <v>15812106.865757352</v>
      </c>
      <c r="K381" s="9">
        <f>IF('Panel de control'!$B$107=1,K395,J381*(1+K$275))</f>
        <v>16444591.140387645</v>
      </c>
      <c r="L381" s="9">
        <f>IF('Panel de control'!$B$107=1,L395,K381*(1+L$275))</f>
        <v>17102374.78600315</v>
      </c>
      <c r="M381" s="9">
        <f>IF('Panel de control'!$B$107=1,M395,L381*(1+M$275))</f>
        <v>17786469.777443275</v>
      </c>
      <c r="N381" s="9">
        <f>IF('Panel de control'!$B$107=1,N395,M381*(1+N$275))</f>
        <v>18497928.568541009</v>
      </c>
      <c r="O381" s="9">
        <f>IF('Panel de control'!$B$107=1,O395,N381*(1+O$275))</f>
        <v>19237845.711282648</v>
      </c>
      <c r="P381" s="9">
        <f>IF('Panel de control'!$B$107=1,P395,O381*(1+P$275))</f>
        <v>20007359.539733957</v>
      </c>
      <c r="Q381" s="9">
        <f>IF('Panel de control'!$B$107=1,Q395,P381*(1+Q$275))</f>
        <v>20807653.921323314</v>
      </c>
    </row>
    <row r="382" spans="2:17" hidden="1" outlineLevel="1" x14ac:dyDescent="0.25">
      <c r="B382" s="10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</row>
    <row r="383" spans="2:17" s="463" customFormat="1" hidden="1" outlineLevel="1" x14ac:dyDescent="0.25">
      <c r="B383" s="486" t="s">
        <v>1083</v>
      </c>
      <c r="C383" s="452"/>
      <c r="D383" s="452"/>
      <c r="E383" s="452"/>
      <c r="F383" s="452"/>
      <c r="G383" s="452">
        <f>-+[4]PYG!I28*1000</f>
        <v>71203484100.972427</v>
      </c>
      <c r="H383" s="452">
        <f>+SUM(H384:H395)</f>
        <v>76224559175.216782</v>
      </c>
      <c r="I383" s="452">
        <f>+H383*(1+I275)</f>
        <v>80798032725.729797</v>
      </c>
      <c r="J383" s="452">
        <f t="shared" ref="J383:Q383" si="231">+I383*(1+J275)</f>
        <v>84433944198.387634</v>
      </c>
      <c r="K383" s="452">
        <f t="shared" si="231"/>
        <v>87811301966.323135</v>
      </c>
      <c r="L383" s="452">
        <f t="shared" si="231"/>
        <v>91323754044.976059</v>
      </c>
      <c r="M383" s="452">
        <f t="shared" si="231"/>
        <v>94976704206.775101</v>
      </c>
      <c r="N383" s="452">
        <f t="shared" si="231"/>
        <v>98775772375.046112</v>
      </c>
      <c r="O383" s="452">
        <f t="shared" si="231"/>
        <v>102726803270.04796</v>
      </c>
      <c r="P383" s="452">
        <f t="shared" si="231"/>
        <v>106835875400.84988</v>
      </c>
      <c r="Q383" s="452">
        <f t="shared" si="231"/>
        <v>111109310416.88388</v>
      </c>
    </row>
    <row r="384" spans="2:17" hidden="1" outlineLevel="1" x14ac:dyDescent="0.25">
      <c r="B384" s="109" t="s">
        <v>1084</v>
      </c>
      <c r="C384" s="9" t="s">
        <v>12</v>
      </c>
      <c r="D384" s="9"/>
      <c r="E384" s="9"/>
      <c r="F384" s="6">
        <f t="shared" ref="F384:F395" si="232">+F370/F$369</f>
        <v>0.6857174911292786</v>
      </c>
      <c r="G384" s="9">
        <v>48825474477.382294</v>
      </c>
      <c r="H384" s="9">
        <v>49447389457</v>
      </c>
      <c r="I384" s="9">
        <f t="shared" ref="I384:Q384" si="233">+I$383*$F384</f>
        <v>55404624288.868782</v>
      </c>
      <c r="J384" s="9">
        <f t="shared" si="233"/>
        <v>57897832381.867874</v>
      </c>
      <c r="K384" s="9">
        <f t="shared" si="233"/>
        <v>60213745677.142586</v>
      </c>
      <c r="L384" s="9">
        <f t="shared" si="233"/>
        <v>62622295504.228294</v>
      </c>
      <c r="M384" s="9">
        <f t="shared" si="233"/>
        <v>65127187324.397423</v>
      </c>
      <c r="N384" s="9">
        <f t="shared" si="233"/>
        <v>67732274817.373322</v>
      </c>
      <c r="O384" s="9">
        <f t="shared" si="233"/>
        <v>70441565810.068253</v>
      </c>
      <c r="P384" s="9">
        <f t="shared" si="233"/>
        <v>73259228442.470993</v>
      </c>
      <c r="Q384" s="9">
        <f t="shared" si="233"/>
        <v>76189597580.16983</v>
      </c>
    </row>
    <row r="385" spans="2:17" hidden="1" outlineLevel="1" x14ac:dyDescent="0.25">
      <c r="B385" s="109" t="s">
        <v>1085</v>
      </c>
      <c r="C385" s="9" t="s">
        <v>12</v>
      </c>
      <c r="D385" s="9"/>
      <c r="E385" s="9"/>
      <c r="F385" s="6">
        <f t="shared" si="232"/>
        <v>0.10508033466017312</v>
      </c>
      <c r="G385" s="9">
        <v>7482085938.300499</v>
      </c>
      <c r="H385" s="9">
        <v>13612495299.495375</v>
      </c>
      <c r="I385" s="9">
        <f t="shared" ref="I385:Q395" si="234">+I$383*$F385</f>
        <v>8490284318.7033072</v>
      </c>
      <c r="J385" s="9">
        <f t="shared" si="234"/>
        <v>8872347113.0449562</v>
      </c>
      <c r="K385" s="9">
        <f t="shared" si="234"/>
        <v>9227240997.5667534</v>
      </c>
      <c r="L385" s="9">
        <f t="shared" si="234"/>
        <v>9596330637.4694233</v>
      </c>
      <c r="M385" s="9">
        <f t="shared" si="234"/>
        <v>9980183862.9682007</v>
      </c>
      <c r="N385" s="9">
        <f t="shared" si="234"/>
        <v>10379391217.486929</v>
      </c>
      <c r="O385" s="9">
        <f t="shared" si="234"/>
        <v>10794566866.186405</v>
      </c>
      <c r="P385" s="9">
        <f t="shared" si="234"/>
        <v>11226349540.833862</v>
      </c>
      <c r="Q385" s="9">
        <f t="shared" si="234"/>
        <v>11675403522.467218</v>
      </c>
    </row>
    <row r="386" spans="2:17" hidden="1" outlineLevel="1" x14ac:dyDescent="0.25">
      <c r="B386" s="109" t="s">
        <v>232</v>
      </c>
      <c r="C386" s="9" t="s">
        <v>12</v>
      </c>
      <c r="D386" s="9"/>
      <c r="E386" s="9"/>
      <c r="F386" s="6">
        <f t="shared" si="232"/>
        <v>0.11326057326731503</v>
      </c>
      <c r="G386" s="9">
        <v>8064547427.9062891</v>
      </c>
      <c r="H386" s="9">
        <v>7127261354.5656004</v>
      </c>
      <c r="I386" s="9">
        <f t="shared" si="234"/>
        <v>9151231505.3874378</v>
      </c>
      <c r="J386" s="9">
        <f t="shared" si="234"/>
        <v>9563036923.1298714</v>
      </c>
      <c r="K386" s="9">
        <f t="shared" si="234"/>
        <v>9945558400.0550671</v>
      </c>
      <c r="L386" s="9">
        <f t="shared" si="234"/>
        <v>10343380736.057268</v>
      </c>
      <c r="M386" s="9">
        <f t="shared" si="234"/>
        <v>10757115965.499559</v>
      </c>
      <c r="N386" s="9">
        <f t="shared" si="234"/>
        <v>11187400604.119543</v>
      </c>
      <c r="O386" s="9">
        <f t="shared" si="234"/>
        <v>11634896628.284325</v>
      </c>
      <c r="P386" s="9">
        <f t="shared" si="234"/>
        <v>12100292493.415699</v>
      </c>
      <c r="Q386" s="9">
        <f t="shared" si="234"/>
        <v>12584304193.152327</v>
      </c>
    </row>
    <row r="387" spans="2:17" hidden="1" outlineLevel="1" x14ac:dyDescent="0.25">
      <c r="B387" s="109" t="s">
        <v>207</v>
      </c>
      <c r="C387" s="9" t="s">
        <v>12</v>
      </c>
      <c r="D387" s="9"/>
      <c r="E387" s="9"/>
      <c r="F387" s="6">
        <f t="shared" si="232"/>
        <v>5.3431099238764379E-2</v>
      </c>
      <c r="G387" s="9">
        <v>3804480425.1448393</v>
      </c>
      <c r="H387" s="9">
        <v>3362312212.896965</v>
      </c>
      <c r="I387" s="9">
        <f t="shared" si="234"/>
        <v>4317127704.8654003</v>
      </c>
      <c r="J387" s="9">
        <f t="shared" si="234"/>
        <v>4511398451.5843439</v>
      </c>
      <c r="K387" s="9">
        <f t="shared" si="234"/>
        <v>4691854389.6477175</v>
      </c>
      <c r="L387" s="9">
        <f t="shared" si="234"/>
        <v>4879528565.2336254</v>
      </c>
      <c r="M387" s="9">
        <f t="shared" si="234"/>
        <v>5074709707.8429708</v>
      </c>
      <c r="N387" s="9">
        <f t="shared" si="234"/>
        <v>5277698096.1566896</v>
      </c>
      <c r="O387" s="9">
        <f t="shared" si="234"/>
        <v>5488806020.0029573</v>
      </c>
      <c r="P387" s="9">
        <f t="shared" si="234"/>
        <v>5708358260.8030767</v>
      </c>
      <c r="Q387" s="9">
        <f t="shared" si="234"/>
        <v>5936692591.235199</v>
      </c>
    </row>
    <row r="388" spans="2:17" hidden="1" outlineLevel="1" x14ac:dyDescent="0.25">
      <c r="B388" s="109" t="s">
        <v>505</v>
      </c>
      <c r="C388" s="9" t="s">
        <v>12</v>
      </c>
      <c r="D388" s="9"/>
      <c r="E388" s="9"/>
      <c r="F388" s="6">
        <f t="shared" si="232"/>
        <v>6.4637074310216567E-3</v>
      </c>
      <c r="G388" s="9">
        <v>460238489.29808789</v>
      </c>
      <c r="H388" s="9">
        <v>406748181.21933079</v>
      </c>
      <c r="I388" s="9">
        <f t="shared" si="234"/>
        <v>522254844.54123068</v>
      </c>
      <c r="J388" s="9">
        <f t="shared" si="234"/>
        <v>545756312.54558611</v>
      </c>
      <c r="K388" s="9">
        <f t="shared" si="234"/>
        <v>567586565.04740942</v>
      </c>
      <c r="L388" s="9">
        <f t="shared" si="234"/>
        <v>590290027.64930582</v>
      </c>
      <c r="M388" s="9">
        <f t="shared" si="234"/>
        <v>613901628.75527811</v>
      </c>
      <c r="N388" s="9">
        <f t="shared" si="234"/>
        <v>638457693.90548921</v>
      </c>
      <c r="O388" s="9">
        <f t="shared" si="234"/>
        <v>663996001.66170883</v>
      </c>
      <c r="P388" s="9">
        <f t="shared" si="234"/>
        <v>690555841.72817719</v>
      </c>
      <c r="Q388" s="9">
        <f t="shared" si="234"/>
        <v>718178075.3973043</v>
      </c>
    </row>
    <row r="389" spans="2:17" hidden="1" outlineLevel="1" x14ac:dyDescent="0.25">
      <c r="B389" s="109" t="s">
        <v>1086</v>
      </c>
      <c r="C389" s="9" t="s">
        <v>12</v>
      </c>
      <c r="D389" s="9"/>
      <c r="E389" s="9"/>
      <c r="F389" s="6">
        <f t="shared" si="232"/>
        <v>1.2506625898066814E-2</v>
      </c>
      <c r="G389" s="9">
        <v>890515338.28981042</v>
      </c>
      <c r="H389" s="9">
        <v>787016954.51354849</v>
      </c>
      <c r="I389" s="9">
        <f t="shared" si="234"/>
        <v>1010510768.6004622</v>
      </c>
      <c r="J389" s="9">
        <f t="shared" si="234"/>
        <v>1055983753.187483</v>
      </c>
      <c r="K389" s="9">
        <f t="shared" si="234"/>
        <v>1098223103.3149822</v>
      </c>
      <c r="L389" s="9">
        <f t="shared" si="234"/>
        <v>1142152027.4475815</v>
      </c>
      <c r="M389" s="9">
        <f t="shared" si="234"/>
        <v>1187838108.5454848</v>
      </c>
      <c r="N389" s="9">
        <f t="shared" si="234"/>
        <v>1235351632.8873043</v>
      </c>
      <c r="O389" s="9">
        <f t="shared" si="234"/>
        <v>1284765698.2027965</v>
      </c>
      <c r="P389" s="9">
        <f t="shared" si="234"/>
        <v>1336156326.1309085</v>
      </c>
      <c r="Q389" s="9">
        <f t="shared" si="234"/>
        <v>1389602579.1761448</v>
      </c>
    </row>
    <row r="390" spans="2:17" hidden="1" outlineLevel="1" x14ac:dyDescent="0.25">
      <c r="B390" s="109" t="s">
        <v>1087</v>
      </c>
      <c r="C390" s="9" t="s">
        <v>12</v>
      </c>
      <c r="D390" s="9"/>
      <c r="E390" s="9"/>
      <c r="F390" s="6">
        <f t="shared" si="232"/>
        <v>3.2116614505451023E-3</v>
      </c>
      <c r="G390" s="9">
        <v>228681485.03159425</v>
      </c>
      <c r="H390" s="9">
        <v>202103431.75990221</v>
      </c>
      <c r="I390" s="9">
        <f t="shared" si="234"/>
        <v>259495926.98510802</v>
      </c>
      <c r="J390" s="9">
        <f t="shared" si="234"/>
        <v>271173243.69943786</v>
      </c>
      <c r="K390" s="9">
        <f t="shared" si="234"/>
        <v>282020173.44741535</v>
      </c>
      <c r="L390" s="9">
        <f t="shared" si="234"/>
        <v>293300980.38531196</v>
      </c>
      <c r="M390" s="9">
        <f t="shared" si="234"/>
        <v>305033019.60072446</v>
      </c>
      <c r="N390" s="9">
        <f t="shared" si="234"/>
        <v>317234340.38475347</v>
      </c>
      <c r="O390" s="9">
        <f t="shared" si="234"/>
        <v>329923714.00014359</v>
      </c>
      <c r="P390" s="9">
        <f t="shared" si="234"/>
        <v>343120662.56014937</v>
      </c>
      <c r="Q390" s="9">
        <f t="shared" si="234"/>
        <v>356845489.06255531</v>
      </c>
    </row>
    <row r="391" spans="2:17" hidden="1" outlineLevel="1" x14ac:dyDescent="0.25">
      <c r="B391" s="109" t="s">
        <v>1088</v>
      </c>
      <c r="C391" s="9" t="s">
        <v>12</v>
      </c>
      <c r="D391" s="9"/>
      <c r="E391" s="9"/>
      <c r="F391" s="6">
        <f t="shared" si="232"/>
        <v>6.7645498816244374E-3</v>
      </c>
      <c r="G391" s="9">
        <v>481659519.94648057</v>
      </c>
      <c r="H391" s="9">
        <v>425679594.95086259</v>
      </c>
      <c r="I391" s="9">
        <f t="shared" si="234"/>
        <v>546562322.71032298</v>
      </c>
      <c r="J391" s="9">
        <f t="shared" si="234"/>
        <v>571157627.23228741</v>
      </c>
      <c r="K391" s="9">
        <f t="shared" si="234"/>
        <v>594003932.32157886</v>
      </c>
      <c r="L391" s="9">
        <f t="shared" si="234"/>
        <v>617764089.61444199</v>
      </c>
      <c r="M391" s="9">
        <f t="shared" si="234"/>
        <v>642474653.19901967</v>
      </c>
      <c r="N391" s="9">
        <f t="shared" si="234"/>
        <v>668173639.32698059</v>
      </c>
      <c r="O391" s="9">
        <f t="shared" si="234"/>
        <v>694900584.90005982</v>
      </c>
      <c r="P391" s="9">
        <f t="shared" si="234"/>
        <v>722696608.29606223</v>
      </c>
      <c r="Q391" s="9">
        <f t="shared" si="234"/>
        <v>751604472.62790477</v>
      </c>
    </row>
    <row r="392" spans="2:17" hidden="1" outlineLevel="1" x14ac:dyDescent="0.25">
      <c r="B392" s="109" t="s">
        <v>154</v>
      </c>
      <c r="C392" s="9" t="s">
        <v>12</v>
      </c>
      <c r="D392" s="9"/>
      <c r="E392" s="9"/>
      <c r="F392" s="6">
        <f t="shared" si="232"/>
        <v>4.1076274120105068E-6</v>
      </c>
      <c r="G392" s="9">
        <v>292477.38312380866</v>
      </c>
      <c r="H392" s="9">
        <v>258484.77778299717</v>
      </c>
      <c r="I392" s="9">
        <f t="shared" si="234"/>
        <v>331888.21406072972</v>
      </c>
      <c r="J392" s="9">
        <f t="shared" si="234"/>
        <v>346823.18369346252</v>
      </c>
      <c r="K392" s="9">
        <f t="shared" si="234"/>
        <v>360696.11104120105</v>
      </c>
      <c r="L392" s="9">
        <f t="shared" si="234"/>
        <v>375123.95548284904</v>
      </c>
      <c r="M392" s="9">
        <f t="shared" si="234"/>
        <v>390128.91370216303</v>
      </c>
      <c r="N392" s="9">
        <f t="shared" si="234"/>
        <v>405734.07025024958</v>
      </c>
      <c r="O392" s="9">
        <f t="shared" si="234"/>
        <v>421963.43306025956</v>
      </c>
      <c r="P392" s="9">
        <f t="shared" si="234"/>
        <v>438841.97038267</v>
      </c>
      <c r="Q392" s="9">
        <f t="shared" si="234"/>
        <v>456395.6491979768</v>
      </c>
    </row>
    <row r="393" spans="2:17" hidden="1" outlineLevel="1" x14ac:dyDescent="0.25">
      <c r="B393" s="109" t="s">
        <v>1089</v>
      </c>
      <c r="C393" s="9" t="s">
        <v>12</v>
      </c>
      <c r="D393" s="9"/>
      <c r="E393" s="9"/>
      <c r="F393" s="6">
        <f t="shared" si="232"/>
        <v>1.3372577495531749E-2</v>
      </c>
      <c r="G393" s="9">
        <v>952174109.09211659</v>
      </c>
      <c r="H393" s="9">
        <v>841509556.63882196</v>
      </c>
      <c r="I393" s="9">
        <f t="shared" si="234"/>
        <v>1080477954.1113322</v>
      </c>
      <c r="J393" s="9">
        <f t="shared" si="234"/>
        <v>1129099462.0463419</v>
      </c>
      <c r="K393" s="9">
        <f t="shared" si="234"/>
        <v>1174263440.5281956</v>
      </c>
      <c r="L393" s="9">
        <f t="shared" si="234"/>
        <v>1221233978.1493235</v>
      </c>
      <c r="M393" s="9">
        <f t="shared" si="234"/>
        <v>1270083337.2752964</v>
      </c>
      <c r="N393" s="9">
        <f t="shared" si="234"/>
        <v>1320886670.7663083</v>
      </c>
      <c r="O393" s="9">
        <f t="shared" si="234"/>
        <v>1373722137.5969605</v>
      </c>
      <c r="P393" s="9">
        <f t="shared" si="234"/>
        <v>1428671023.1008391</v>
      </c>
      <c r="Q393" s="9">
        <f t="shared" si="234"/>
        <v>1485817864.0248728</v>
      </c>
    </row>
    <row r="394" spans="2:17" hidden="1" outlineLevel="1" x14ac:dyDescent="0.25">
      <c r="B394" s="109" t="s">
        <v>540</v>
      </c>
      <c r="C394" s="9" t="s">
        <v>12</v>
      </c>
      <c r="D394" s="9"/>
      <c r="E394" s="9"/>
      <c r="F394" s="6">
        <f t="shared" si="232"/>
        <v>0</v>
      </c>
      <c r="G394" s="9">
        <v>0</v>
      </c>
      <c r="H394" s="9">
        <v>0</v>
      </c>
      <c r="I394" s="9">
        <f t="shared" si="234"/>
        <v>0</v>
      </c>
      <c r="J394" s="9">
        <f t="shared" si="234"/>
        <v>0</v>
      </c>
      <c r="K394" s="9">
        <f t="shared" si="234"/>
        <v>0</v>
      </c>
      <c r="L394" s="9">
        <f t="shared" si="234"/>
        <v>0</v>
      </c>
      <c r="M394" s="9">
        <f t="shared" si="234"/>
        <v>0</v>
      </c>
      <c r="N394" s="9">
        <f t="shared" si="234"/>
        <v>0</v>
      </c>
      <c r="O394" s="9">
        <f t="shared" si="234"/>
        <v>0</v>
      </c>
      <c r="P394" s="9">
        <f t="shared" si="234"/>
        <v>0</v>
      </c>
      <c r="Q394" s="9">
        <f t="shared" si="234"/>
        <v>0</v>
      </c>
    </row>
    <row r="395" spans="2:17" hidden="1" outlineLevel="1" x14ac:dyDescent="0.25">
      <c r="B395" s="109" t="s">
        <v>1090</v>
      </c>
      <c r="C395" s="9" t="s">
        <v>12</v>
      </c>
      <c r="D395" s="9"/>
      <c r="E395" s="9"/>
      <c r="F395" s="6">
        <f t="shared" si="232"/>
        <v>1.8727192026710157E-4</v>
      </c>
      <c r="G395" s="9">
        <v>13334413.197297143</v>
      </c>
      <c r="H395" s="9">
        <v>11784647.398568168</v>
      </c>
      <c r="I395" s="9">
        <f t="shared" si="234"/>
        <v>15131202.742351534</v>
      </c>
      <c r="J395" s="9">
        <f t="shared" si="234"/>
        <v>15812106.865757352</v>
      </c>
      <c r="K395" s="9">
        <f t="shared" si="234"/>
        <v>16444591.140387645</v>
      </c>
      <c r="L395" s="9">
        <f t="shared" si="234"/>
        <v>17102374.78600315</v>
      </c>
      <c r="M395" s="9">
        <f t="shared" si="234"/>
        <v>17786469.777443275</v>
      </c>
      <c r="N395" s="9">
        <f t="shared" si="234"/>
        <v>18497928.568541009</v>
      </c>
      <c r="O395" s="9">
        <f t="shared" si="234"/>
        <v>19237845.711282648</v>
      </c>
      <c r="P395" s="9">
        <f t="shared" si="234"/>
        <v>20007359.539733957</v>
      </c>
      <c r="Q395" s="9">
        <f t="shared" si="234"/>
        <v>20807653.921323314</v>
      </c>
    </row>
    <row r="396" spans="2:17" collapsed="1" x14ac:dyDescent="0.25"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</row>
    <row r="397" spans="2:17" s="16" customFormat="1" x14ac:dyDescent="0.25">
      <c r="B397" s="17" t="s">
        <v>1132</v>
      </c>
      <c r="C397" s="17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</row>
    <row r="398" spans="2:17" hidden="1" outlineLevel="1" x14ac:dyDescent="0.25"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</row>
    <row r="399" spans="2:17" s="6" customFormat="1" hidden="1" outlineLevel="1" x14ac:dyDescent="0.25">
      <c r="B399" s="6" t="s">
        <v>1131</v>
      </c>
      <c r="E399" s="6">
        <f t="shared" ref="E399:Q399" si="235">+E62/D62-1</f>
        <v>0.1340092164040152</v>
      </c>
      <c r="F399" s="6">
        <f t="shared" si="235"/>
        <v>6.9974308560087461E-2</v>
      </c>
      <c r="G399" s="6">
        <f t="shared" si="235"/>
        <v>0.10661892662858352</v>
      </c>
      <c r="H399" s="6">
        <f t="shared" si="235"/>
        <v>7.7812040567396767E-2</v>
      </c>
      <c r="I399" s="6">
        <f t="shared" si="235"/>
        <v>7.4395369776958375E-2</v>
      </c>
      <c r="J399" s="6">
        <f t="shared" si="235"/>
        <v>3.4735767802583917E-2</v>
      </c>
      <c r="K399" s="6">
        <f t="shared" si="235"/>
        <v>3.7323739079615947E-2</v>
      </c>
      <c r="L399" s="6">
        <f t="shared" si="235"/>
        <v>3.4117055260757478E-2</v>
      </c>
      <c r="M399" s="6">
        <f t="shared" si="235"/>
        <v>3.5150000000000015E-2</v>
      </c>
      <c r="N399" s="6">
        <f t="shared" si="235"/>
        <v>3.5149999999999793E-2</v>
      </c>
      <c r="O399" s="6">
        <f t="shared" si="235"/>
        <v>3.5149999999999793E-2</v>
      </c>
      <c r="P399" s="6">
        <f t="shared" si="235"/>
        <v>3.5150000000000015E-2</v>
      </c>
      <c r="Q399" s="6">
        <f t="shared" si="235"/>
        <v>5.0000000000001155E-3</v>
      </c>
    </row>
    <row r="400" spans="2:17" hidden="1" outlineLevel="1" x14ac:dyDescent="0.25"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</row>
    <row r="401" spans="2:17" hidden="1" outlineLevel="1" x14ac:dyDescent="0.25">
      <c r="B401" s="110" t="s">
        <v>1120</v>
      </c>
      <c r="D401" s="102">
        <f t="shared" ref="D401:F408" si="236">+D16/D$16</f>
        <v>1</v>
      </c>
      <c r="E401" s="102">
        <f t="shared" si="236"/>
        <v>1</v>
      </c>
      <c r="F401" s="102">
        <f t="shared" si="236"/>
        <v>1</v>
      </c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</row>
    <row r="402" spans="2:17" hidden="1" outlineLevel="1" x14ac:dyDescent="0.25">
      <c r="B402" s="109" t="s">
        <v>1045</v>
      </c>
      <c r="C402" t="s">
        <v>12</v>
      </c>
      <c r="D402" s="6">
        <f t="shared" si="236"/>
        <v>0.14377904358356369</v>
      </c>
      <c r="E402" s="6">
        <f t="shared" si="236"/>
        <v>0.20007450338864838</v>
      </c>
      <c r="F402" s="6">
        <f t="shared" si="236"/>
        <v>0.11455254626260268</v>
      </c>
      <c r="G402" s="6">
        <f t="shared" ref="G402:G408" si="237">+G413/G$412</f>
        <v>0.11454500037687534</v>
      </c>
      <c r="H402" s="6">
        <f t="shared" ref="H402:M402" si="238">+H413/H$412</f>
        <v>0.11455594687795197</v>
      </c>
      <c r="I402" s="6">
        <f t="shared" si="238"/>
        <v>0.12812561287022459</v>
      </c>
      <c r="J402" s="6">
        <f t="shared" si="238"/>
        <v>0.14360010107824792</v>
      </c>
      <c r="K402" s="6">
        <f t="shared" si="238"/>
        <v>0.16188935710335339</v>
      </c>
      <c r="L402" s="6">
        <f t="shared" si="238"/>
        <v>0.18483178586488036</v>
      </c>
      <c r="M402" s="6">
        <f t="shared" si="238"/>
        <v>0.18483178586488039</v>
      </c>
      <c r="N402" s="6">
        <f t="shared" ref="N402:Q408" si="239">+N413/N$412</f>
        <v>0.18483178586488036</v>
      </c>
      <c r="O402" s="6">
        <f t="shared" si="239"/>
        <v>0.18483178586488036</v>
      </c>
      <c r="P402" s="6">
        <f t="shared" si="239"/>
        <v>0.18483178586488042</v>
      </c>
      <c r="Q402" s="6">
        <f t="shared" si="239"/>
        <v>0.18483178586488042</v>
      </c>
    </row>
    <row r="403" spans="2:17" hidden="1" outlineLevel="1" x14ac:dyDescent="0.25">
      <c r="B403" s="109" t="s">
        <v>1046</v>
      </c>
      <c r="C403" t="s">
        <v>12</v>
      </c>
      <c r="D403" s="6">
        <f t="shared" si="236"/>
        <v>0.55259192083431941</v>
      </c>
      <c r="E403" s="6">
        <f t="shared" si="236"/>
        <v>0.5776035166656921</v>
      </c>
      <c r="F403" s="6">
        <f t="shared" si="236"/>
        <v>0.6485748453544129</v>
      </c>
      <c r="G403" s="6">
        <f t="shared" si="237"/>
        <v>0.63256573300487084</v>
      </c>
      <c r="H403" s="6">
        <f t="shared" ref="H403:M403" si="240">+H414/H$412</f>
        <v>0.63253061912311259</v>
      </c>
      <c r="I403" s="6">
        <f t="shared" si="240"/>
        <v>0.58900222189202744</v>
      </c>
      <c r="J403" s="6">
        <f t="shared" si="240"/>
        <v>0.53936358892566272</v>
      </c>
      <c r="K403" s="6">
        <f t="shared" si="240"/>
        <v>0.48069582202740918</v>
      </c>
      <c r="L403" s="6">
        <f t="shared" si="240"/>
        <v>0.40710173701851465</v>
      </c>
      <c r="M403" s="6">
        <f t="shared" si="240"/>
        <v>0.4071017370185146</v>
      </c>
      <c r="N403" s="6">
        <f t="shared" si="239"/>
        <v>0.40710173701851465</v>
      </c>
      <c r="O403" s="6">
        <f t="shared" si="239"/>
        <v>0.40710173701851471</v>
      </c>
      <c r="P403" s="6">
        <f t="shared" si="239"/>
        <v>0.40710173701851449</v>
      </c>
      <c r="Q403" s="6">
        <f t="shared" si="239"/>
        <v>0.40710173701851449</v>
      </c>
    </row>
    <row r="404" spans="2:17" hidden="1" outlineLevel="1" x14ac:dyDescent="0.25">
      <c r="B404" s="109" t="s">
        <v>1047</v>
      </c>
      <c r="C404" t="s">
        <v>12</v>
      </c>
      <c r="D404" s="6">
        <f t="shared" si="236"/>
        <v>4.1626738772597583E-3</v>
      </c>
      <c r="E404" s="6">
        <f t="shared" si="236"/>
        <v>9.2986233747375628E-3</v>
      </c>
      <c r="F404" s="6">
        <f t="shared" si="236"/>
        <v>2.0047868449916188E-2</v>
      </c>
      <c r="G404" s="6">
        <f t="shared" si="237"/>
        <v>2.0046547842654847E-2</v>
      </c>
      <c r="H404" s="6">
        <f t="shared" ref="H404:M404" si="241">+H415/H$412</f>
        <v>2.0048463592419741E-2</v>
      </c>
      <c r="I404" s="6">
        <f t="shared" si="241"/>
        <v>2.2423294075006713E-2</v>
      </c>
      <c r="J404" s="6">
        <f t="shared" si="241"/>
        <v>2.513148794800062E-2</v>
      </c>
      <c r="K404" s="6">
        <f t="shared" si="241"/>
        <v>2.8332295008173785E-2</v>
      </c>
      <c r="L404" s="6">
        <f t="shared" si="241"/>
        <v>3.2347454939043188E-2</v>
      </c>
      <c r="M404" s="6">
        <f t="shared" si="241"/>
        <v>3.2347454939043195E-2</v>
      </c>
      <c r="N404" s="6">
        <f t="shared" si="239"/>
        <v>3.2347454939043188E-2</v>
      </c>
      <c r="O404" s="6">
        <f t="shared" si="239"/>
        <v>3.2347454939043188E-2</v>
      </c>
      <c r="P404" s="6">
        <f t="shared" si="239"/>
        <v>3.2347454939043195E-2</v>
      </c>
      <c r="Q404" s="6">
        <f t="shared" si="239"/>
        <v>3.2347454939043195E-2</v>
      </c>
    </row>
    <row r="405" spans="2:17" hidden="1" outlineLevel="1" x14ac:dyDescent="0.25">
      <c r="B405" s="109" t="s">
        <v>1048</v>
      </c>
      <c r="C405" t="s">
        <v>12</v>
      </c>
      <c r="D405" s="6">
        <f t="shared" si="236"/>
        <v>3.4471706107575141E-2</v>
      </c>
      <c r="E405" s="6">
        <f t="shared" si="236"/>
        <v>5.5025467170144275E-3</v>
      </c>
      <c r="F405" s="6">
        <f t="shared" si="236"/>
        <v>3.7983843732798364E-3</v>
      </c>
      <c r="G405" s="6">
        <f t="shared" si="237"/>
        <v>3.7981341634384632E-3</v>
      </c>
      <c r="H405" s="6">
        <f t="shared" ref="H405:M405" si="242">+H416/H$412</f>
        <v>3.7984971323988927E-3</v>
      </c>
      <c r="I405" s="6">
        <f t="shared" si="242"/>
        <v>4.2484461639770944E-3</v>
      </c>
      <c r="J405" s="6">
        <f t="shared" si="242"/>
        <v>4.7615561393687797E-3</v>
      </c>
      <c r="K405" s="6">
        <f t="shared" si="242"/>
        <v>5.3679994402921925E-3</v>
      </c>
      <c r="L405" s="6">
        <f t="shared" si="242"/>
        <v>6.1287347162510414E-3</v>
      </c>
      <c r="M405" s="6">
        <f t="shared" si="242"/>
        <v>6.1287347162510422E-3</v>
      </c>
      <c r="N405" s="6">
        <f t="shared" si="239"/>
        <v>6.1287347162510422E-3</v>
      </c>
      <c r="O405" s="6">
        <f t="shared" si="239"/>
        <v>6.1287347162510414E-3</v>
      </c>
      <c r="P405" s="6">
        <f t="shared" si="239"/>
        <v>6.1287347162510422E-3</v>
      </c>
      <c r="Q405" s="6">
        <f t="shared" si="239"/>
        <v>6.1287347162510414E-3</v>
      </c>
    </row>
    <row r="406" spans="2:17" hidden="1" outlineLevel="1" x14ac:dyDescent="0.25">
      <c r="B406" s="109" t="s">
        <v>1049</v>
      </c>
      <c r="C406" t="s">
        <v>12</v>
      </c>
      <c r="D406" s="6">
        <f t="shared" si="236"/>
        <v>0.29822204447697009</v>
      </c>
      <c r="E406" s="6">
        <f t="shared" si="236"/>
        <v>0.22505855928165891</v>
      </c>
      <c r="F406" s="6">
        <f t="shared" si="236"/>
        <v>0.18984400987083871</v>
      </c>
      <c r="G406" s="6">
        <f t="shared" si="237"/>
        <v>0.18983150433297649</v>
      </c>
      <c r="H406" s="6">
        <f t="shared" ref="H406:M406" si="243">+H417/H$412</f>
        <v>0.18984964559413775</v>
      </c>
      <c r="I406" s="6">
        <f t="shared" si="243"/>
        <v>0.21233818808952182</v>
      </c>
      <c r="J406" s="6">
        <f t="shared" si="243"/>
        <v>0.23798352717587987</v>
      </c>
      <c r="K406" s="6">
        <f t="shared" si="243"/>
        <v>0.26829368451974978</v>
      </c>
      <c r="L406" s="6">
        <f t="shared" si="243"/>
        <v>0.30631538560249771</v>
      </c>
      <c r="M406" s="6">
        <f t="shared" si="243"/>
        <v>0.30631538560249777</v>
      </c>
      <c r="N406" s="6">
        <f t="shared" si="239"/>
        <v>0.30631538560249777</v>
      </c>
      <c r="O406" s="6">
        <f t="shared" si="239"/>
        <v>0.30631538560249771</v>
      </c>
      <c r="P406" s="6">
        <f t="shared" si="239"/>
        <v>0.30631538560249782</v>
      </c>
      <c r="Q406" s="6">
        <f t="shared" si="239"/>
        <v>0.30631538560249777</v>
      </c>
    </row>
    <row r="407" spans="2:17" hidden="1" outlineLevel="1" x14ac:dyDescent="0.25">
      <c r="B407" s="109" t="s">
        <v>1050</v>
      </c>
      <c r="C407" t="s">
        <v>12</v>
      </c>
      <c r="D407" s="6">
        <f t="shared" si="236"/>
        <v>5.795355191888063E-2</v>
      </c>
      <c r="E407" s="6">
        <f t="shared" si="236"/>
        <v>5.1249700405008092E-2</v>
      </c>
      <c r="F407" s="6">
        <f t="shared" si="236"/>
        <v>3.5000765592133887E-2</v>
      </c>
      <c r="G407" s="6">
        <f t="shared" si="237"/>
        <v>3.4998459997137146E-2</v>
      </c>
      <c r="H407" s="6">
        <f t="shared" ref="H407:M407" si="244">+H418/H$412</f>
        <v>3.5001804627446433E-2</v>
      </c>
      <c r="I407" s="6">
        <f t="shared" si="244"/>
        <v>3.9147925460677871E-2</v>
      </c>
      <c r="J407" s="6">
        <f t="shared" si="244"/>
        <v>4.3876052002585084E-2</v>
      </c>
      <c r="K407" s="6">
        <f t="shared" si="244"/>
        <v>4.9464212055542557E-2</v>
      </c>
      <c r="L407" s="6">
        <f t="shared" si="244"/>
        <v>5.6474117966805459E-2</v>
      </c>
      <c r="M407" s="6">
        <f t="shared" si="244"/>
        <v>5.6474117966805466E-2</v>
      </c>
      <c r="N407" s="6">
        <f t="shared" si="239"/>
        <v>5.6474117966805466E-2</v>
      </c>
      <c r="O407" s="6">
        <f t="shared" si="239"/>
        <v>5.6474117966805459E-2</v>
      </c>
      <c r="P407" s="6">
        <f t="shared" si="239"/>
        <v>5.6474117966805473E-2</v>
      </c>
      <c r="Q407" s="6">
        <f t="shared" si="239"/>
        <v>5.6474117966805473E-2</v>
      </c>
    </row>
    <row r="408" spans="2:17" hidden="1" outlineLevel="1" x14ac:dyDescent="0.25">
      <c r="B408" s="109" t="s">
        <v>424</v>
      </c>
      <c r="C408" t="s">
        <v>12</v>
      </c>
      <c r="D408" s="6">
        <f t="shared" si="236"/>
        <v>1.1795725457960392E-2</v>
      </c>
      <c r="E408" s="6">
        <f t="shared" si="236"/>
        <v>8.1517884026464909E-3</v>
      </c>
      <c r="F408" s="6">
        <f t="shared" si="236"/>
        <v>4.2148979287614501E-3</v>
      </c>
      <c r="G408" s="6">
        <f t="shared" si="237"/>
        <v>4.2146202820468161E-3</v>
      </c>
      <c r="H408" s="6">
        <f t="shared" ref="H408:M408" si="245">+H419/H$412</f>
        <v>4.2150230525326788E-3</v>
      </c>
      <c r="I408" s="6">
        <f t="shared" si="245"/>
        <v>4.7143114485644882E-3</v>
      </c>
      <c r="J408" s="6">
        <f t="shared" si="245"/>
        <v>5.2836867302550553E-3</v>
      </c>
      <c r="K408" s="6">
        <f t="shared" si="245"/>
        <v>5.956629845479124E-3</v>
      </c>
      <c r="L408" s="6">
        <f t="shared" si="245"/>
        <v>6.8007838920076044E-3</v>
      </c>
      <c r="M408" s="6">
        <f t="shared" si="245"/>
        <v>6.8007838920076053E-3</v>
      </c>
      <c r="N408" s="6">
        <f t="shared" si="239"/>
        <v>6.8007838920076053E-3</v>
      </c>
      <c r="O408" s="6">
        <f t="shared" si="239"/>
        <v>6.8007838920076044E-3</v>
      </c>
      <c r="P408" s="6">
        <f t="shared" si="239"/>
        <v>6.8007838920076061E-3</v>
      </c>
      <c r="Q408" s="6">
        <f t="shared" si="239"/>
        <v>6.8007838920076053E-3</v>
      </c>
    </row>
    <row r="409" spans="2:17" hidden="1" outlineLevel="1" x14ac:dyDescent="0.25"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</row>
    <row r="410" spans="2:17" hidden="1" outlineLevel="1" x14ac:dyDescent="0.25">
      <c r="B410" s="110" t="s">
        <v>1121</v>
      </c>
      <c r="C410" t="s">
        <v>1122</v>
      </c>
      <c r="D410" s="116">
        <f>+D16/D62*360</f>
        <v>34.113467673594059</v>
      </c>
      <c r="E410" s="116">
        <f>+E16/E62*360</f>
        <v>41.663511094277112</v>
      </c>
      <c r="F410" s="116">
        <f>+F16/F62*360</f>
        <v>56.408862780849823</v>
      </c>
      <c r="G410" s="116">
        <f>+'Panel de control'!D86</f>
        <v>56</v>
      </c>
      <c r="H410" s="116">
        <f>+'Panel de control'!E86</f>
        <v>56</v>
      </c>
      <c r="I410" s="116">
        <f>+'Panel de control'!F86</f>
        <v>50</v>
      </c>
      <c r="J410" s="116">
        <f>+'Panel de control'!G86</f>
        <v>45</v>
      </c>
      <c r="K410" s="116">
        <f>+'Panel de control'!H86</f>
        <v>40</v>
      </c>
      <c r="L410" s="116">
        <f>+'Panel de control'!I86</f>
        <v>35</v>
      </c>
      <c r="M410" s="116">
        <f>+'Panel de control'!J86</f>
        <v>35</v>
      </c>
      <c r="N410" s="116">
        <f>+'Panel de control'!K86</f>
        <v>35</v>
      </c>
      <c r="O410" s="116">
        <f>+'Panel de control'!L86</f>
        <v>35</v>
      </c>
      <c r="P410" s="116">
        <f>+'Panel de control'!M86</f>
        <v>35</v>
      </c>
      <c r="Q410" s="116">
        <f>+P410</f>
        <v>35</v>
      </c>
    </row>
    <row r="411" spans="2:17" hidden="1" outlineLevel="1" x14ac:dyDescent="0.25"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</row>
    <row r="412" spans="2:17" s="16" customFormat="1" hidden="1" outlineLevel="1" x14ac:dyDescent="0.25">
      <c r="B412" s="110" t="s">
        <v>1120</v>
      </c>
      <c r="C412" s="16" t="s">
        <v>11</v>
      </c>
      <c r="D412" s="12">
        <f t="shared" ref="D412:F419" si="246">+D16</f>
        <v>112804280817</v>
      </c>
      <c r="E412" s="12">
        <f t="shared" si="246"/>
        <v>156232780967</v>
      </c>
      <c r="F412" s="12">
        <f t="shared" si="246"/>
        <v>226327325388</v>
      </c>
      <c r="G412" s="12">
        <f t="shared" ref="G412:Q412" si="247">+G289/360*G410</f>
        <v>250474601326.32355</v>
      </c>
      <c r="H412" s="12">
        <f t="shared" si="247"/>
        <v>269938744450.59119</v>
      </c>
      <c r="I412" s="12">
        <f t="shared" si="247"/>
        <v>259305086053.1268</v>
      </c>
      <c r="J412" s="12">
        <f t="shared" si="247"/>
        <v>239398655497.76251</v>
      </c>
      <c r="K412" s="12">
        <f t="shared" si="247"/>
        <v>220278682878.67456</v>
      </c>
      <c r="L412" s="12">
        <f t="shared" si="247"/>
        <v>199518793759.12744</v>
      </c>
      <c r="M412" s="12">
        <f t="shared" si="247"/>
        <v>206531879359.76074</v>
      </c>
      <c r="N412" s="12">
        <f t="shared" si="247"/>
        <v>213791474919.25632</v>
      </c>
      <c r="O412" s="12">
        <f t="shared" si="247"/>
        <v>221306245262.66815</v>
      </c>
      <c r="P412" s="12">
        <f t="shared" si="247"/>
        <v>229085159783.65088</v>
      </c>
      <c r="Q412" s="12">
        <f t="shared" si="247"/>
        <v>230230585582.56918</v>
      </c>
    </row>
    <row r="413" spans="2:17" hidden="1" outlineLevel="1" x14ac:dyDescent="0.25">
      <c r="B413" s="109" t="s">
        <v>1045</v>
      </c>
      <c r="C413" t="s">
        <v>11</v>
      </c>
      <c r="D413" s="9">
        <f t="shared" si="246"/>
        <v>16218891608</v>
      </c>
      <c r="E413" s="9">
        <f t="shared" si="246"/>
        <v>31258196065</v>
      </c>
      <c r="F413" s="9">
        <f t="shared" si="246"/>
        <v>25926371412</v>
      </c>
      <c r="G413" s="9">
        <f>+F413*(1+G$399)</f>
        <v>28690613303.321434</v>
      </c>
      <c r="H413" s="9">
        <f>+G413*(1+H$399)</f>
        <v>30923088469.582973</v>
      </c>
      <c r="I413" s="9">
        <f t="shared" ref="I413:Q419" si="248">+H413*(1+I$399)</f>
        <v>33223623070.923195</v>
      </c>
      <c r="J413" s="9">
        <f t="shared" si="248"/>
        <v>34377671127.475349</v>
      </c>
      <c r="K413" s="9">
        <f t="shared" si="248"/>
        <v>35660774354.802086</v>
      </c>
      <c r="L413" s="9">
        <f t="shared" si="248"/>
        <v>36877414964.10627</v>
      </c>
      <c r="M413" s="9">
        <f t="shared" si="248"/>
        <v>38173656100.094604</v>
      </c>
      <c r="N413" s="9">
        <f t="shared" si="248"/>
        <v>39515460112.012924</v>
      </c>
      <c r="O413" s="9">
        <f t="shared" si="248"/>
        <v>40904428534.950172</v>
      </c>
      <c r="P413" s="9">
        <f t="shared" si="248"/>
        <v>42342219197.953674</v>
      </c>
      <c r="Q413" s="9">
        <f t="shared" si="248"/>
        <v>42553930293.943451</v>
      </c>
    </row>
    <row r="414" spans="2:17" hidden="1" outlineLevel="1" x14ac:dyDescent="0.25">
      <c r="B414" s="109" t="s">
        <v>1046</v>
      </c>
      <c r="C414" t="s">
        <v>11</v>
      </c>
      <c r="D414" s="9">
        <f t="shared" si="246"/>
        <v>62334734215</v>
      </c>
      <c r="E414" s="9">
        <f t="shared" si="246"/>
        <v>90240603705</v>
      </c>
      <c r="F414" s="9">
        <f t="shared" si="246"/>
        <v>146790210063</v>
      </c>
      <c r="G414" s="9">
        <f>+G412-G413-SUM(G415:G419)</f>
        <v>158441649787.08865</v>
      </c>
      <c r="H414" s="9">
        <f t="shared" ref="H414:M414" si="249">+H412-H413-SUM(H415:H419)</f>
        <v>170744521152.6481</v>
      </c>
      <c r="I414" s="9">
        <f t="shared" si="249"/>
        <v>152731271833.19507</v>
      </c>
      <c r="J414" s="9">
        <f t="shared" si="249"/>
        <v>129122918013.25153</v>
      </c>
      <c r="K414" s="9">
        <f t="shared" si="249"/>
        <v>105887042541.47945</v>
      </c>
      <c r="L414" s="9">
        <f t="shared" si="249"/>
        <v>81224447507.179565</v>
      </c>
      <c r="M414" s="9">
        <f t="shared" si="249"/>
        <v>84079486837.0569</v>
      </c>
      <c r="N414" s="9">
        <f>+N412-N413-SUM(N415:N419)</f>
        <v>87034880799.379456</v>
      </c>
      <c r="O414" s="9">
        <f>+O412-O413-SUM(O415:O419)</f>
        <v>90094156859.477646</v>
      </c>
      <c r="P414" s="9">
        <f>+P412-P413-SUM(P415:P419)</f>
        <v>93260966473.088211</v>
      </c>
      <c r="Q414" s="9">
        <f>+Q412-Q413-SUM(Q415:Q419)</f>
        <v>93727271305.453674</v>
      </c>
    </row>
    <row r="415" spans="2:17" hidden="1" outlineLevel="1" x14ac:dyDescent="0.25">
      <c r="B415" s="109" t="s">
        <v>1047</v>
      </c>
      <c r="C415" t="s">
        <v>11</v>
      </c>
      <c r="D415" s="9">
        <f t="shared" si="246"/>
        <v>469567433</v>
      </c>
      <c r="E415" s="9">
        <f t="shared" si="246"/>
        <v>1452749789</v>
      </c>
      <c r="F415" s="9">
        <f t="shared" si="246"/>
        <v>4537380446</v>
      </c>
      <c r="G415" s="9">
        <f t="shared" ref="G415:H419" si="250">+F415*(1+G$399)</f>
        <v>5021151078.8580437</v>
      </c>
      <c r="H415" s="9">
        <f t="shared" si="250"/>
        <v>5411857090.3011742</v>
      </c>
      <c r="I415" s="9">
        <f t="shared" si="248"/>
        <v>5814474199.7141838</v>
      </c>
      <c r="J415" s="9">
        <f t="shared" si="248"/>
        <v>6016444425.4095707</v>
      </c>
      <c r="K415" s="9">
        <f t="shared" si="248"/>
        <v>6241000627.3305674</v>
      </c>
      <c r="L415" s="9">
        <f t="shared" si="248"/>
        <v>6453925190.6156263</v>
      </c>
      <c r="M415" s="9">
        <f t="shared" si="248"/>
        <v>6680780661.0657654</v>
      </c>
      <c r="N415" s="9">
        <f t="shared" si="248"/>
        <v>6915610101.3022261</v>
      </c>
      <c r="O415" s="9">
        <f t="shared" si="248"/>
        <v>7158693796.362998</v>
      </c>
      <c r="P415" s="9">
        <f t="shared" si="248"/>
        <v>7410321883.3051577</v>
      </c>
      <c r="Q415" s="9">
        <f t="shared" si="248"/>
        <v>7447373492.7216845</v>
      </c>
    </row>
    <row r="416" spans="2:17" hidden="1" outlineLevel="1" x14ac:dyDescent="0.25">
      <c r="B416" s="109" t="s">
        <v>1048</v>
      </c>
      <c r="C416" t="s">
        <v>11</v>
      </c>
      <c r="D416" s="9">
        <f t="shared" si="246"/>
        <v>3888556016</v>
      </c>
      <c r="E416" s="9">
        <f t="shared" si="246"/>
        <v>859678176</v>
      </c>
      <c r="F416" s="9">
        <f t="shared" si="246"/>
        <v>859678176</v>
      </c>
      <c r="G416" s="9">
        <f t="shared" si="250"/>
        <v>951336140.37113845</v>
      </c>
      <c r="H416" s="9">
        <f t="shared" si="250"/>
        <v>1025361546.7189281</v>
      </c>
      <c r="I416" s="9">
        <f t="shared" si="248"/>
        <v>1101643698.1421568</v>
      </c>
      <c r="J416" s="9">
        <f t="shared" si="248"/>
        <v>1139910137.8420026</v>
      </c>
      <c r="K416" s="9">
        <f t="shared" si="248"/>
        <v>1182455846.4010265</v>
      </c>
      <c r="L416" s="9">
        <f t="shared" si="248"/>
        <v>1222797757.856096</v>
      </c>
      <c r="M416" s="9">
        <f t="shared" si="248"/>
        <v>1265779099.0447378</v>
      </c>
      <c r="N416" s="9">
        <f t="shared" si="248"/>
        <v>1310271234.3761601</v>
      </c>
      <c r="O416" s="9">
        <f t="shared" si="248"/>
        <v>1356327268.2644818</v>
      </c>
      <c r="P416" s="9">
        <f t="shared" si="248"/>
        <v>1404002171.7439783</v>
      </c>
      <c r="Q416" s="9">
        <f t="shared" si="248"/>
        <v>1411022182.6026983</v>
      </c>
    </row>
    <row r="417" spans="2:17" hidden="1" outlineLevel="1" x14ac:dyDescent="0.25">
      <c r="B417" s="109" t="s">
        <v>1049</v>
      </c>
      <c r="C417" t="s">
        <v>11</v>
      </c>
      <c r="D417" s="9">
        <f t="shared" si="246"/>
        <v>33640723251</v>
      </c>
      <c r="E417" s="9">
        <f t="shared" si="246"/>
        <v>35161524597</v>
      </c>
      <c r="F417" s="9">
        <f t="shared" si="246"/>
        <v>42966886995</v>
      </c>
      <c r="G417" s="9">
        <f t="shared" si="250"/>
        <v>47547970366.978546</v>
      </c>
      <c r="H417" s="9">
        <f t="shared" si="250"/>
        <v>51247774966.071259</v>
      </c>
      <c r="I417" s="9">
        <f t="shared" si="248"/>
        <v>55060372134.91848</v>
      </c>
      <c r="J417" s="9">
        <f t="shared" si="248"/>
        <v>56972936436.520866</v>
      </c>
      <c r="K417" s="9">
        <f t="shared" si="248"/>
        <v>59099379450.677116</v>
      </c>
      <c r="L417" s="9">
        <f t="shared" si="248"/>
        <v>61115676245.272339</v>
      </c>
      <c r="M417" s="9">
        <f t="shared" si="248"/>
        <v>63263892265.293663</v>
      </c>
      <c r="N417" s="9">
        <f t="shared" si="248"/>
        <v>65487618078.418724</v>
      </c>
      <c r="O417" s="9">
        <f t="shared" si="248"/>
        <v>67789507853.87513</v>
      </c>
      <c r="P417" s="9">
        <f t="shared" si="248"/>
        <v>70172309054.938843</v>
      </c>
      <c r="Q417" s="9">
        <f t="shared" si="248"/>
        <v>70523170600.213547</v>
      </c>
    </row>
    <row r="418" spans="2:17" hidden="1" outlineLevel="1" x14ac:dyDescent="0.25">
      <c r="B418" s="109" t="s">
        <v>1050</v>
      </c>
      <c r="C418" t="s">
        <v>11</v>
      </c>
      <c r="D418" s="9">
        <f t="shared" si="246"/>
        <v>6537408745</v>
      </c>
      <c r="E418" s="9">
        <f t="shared" si="246"/>
        <v>8006883218</v>
      </c>
      <c r="F418" s="9">
        <f t="shared" si="246"/>
        <v>7921629663</v>
      </c>
      <c r="G418" s="9">
        <f t="shared" si="250"/>
        <v>8766225314.8182087</v>
      </c>
      <c r="H418" s="9">
        <f t="shared" si="250"/>
        <v>9448343194.6377831</v>
      </c>
      <c r="I418" s="9">
        <f t="shared" si="248"/>
        <v>10151256180.382469</v>
      </c>
      <c r="J418" s="9">
        <f t="shared" si="248"/>
        <v>10503867857.968779</v>
      </c>
      <c r="K418" s="9">
        <f t="shared" si="248"/>
        <v>10895911481.22637</v>
      </c>
      <c r="L418" s="9">
        <f t="shared" si="248"/>
        <v>11267647895.347692</v>
      </c>
      <c r="M418" s="9">
        <f t="shared" si="248"/>
        <v>11663705718.869164</v>
      </c>
      <c r="N418" s="9">
        <f t="shared" si="248"/>
        <v>12073684974.887413</v>
      </c>
      <c r="O418" s="9">
        <f t="shared" si="248"/>
        <v>12498075001.754704</v>
      </c>
      <c r="P418" s="9">
        <f t="shared" si="248"/>
        <v>12937382338.066381</v>
      </c>
      <c r="Q418" s="9">
        <f t="shared" si="248"/>
        <v>13002069249.756716</v>
      </c>
    </row>
    <row r="419" spans="2:17" hidden="1" outlineLevel="1" x14ac:dyDescent="0.25">
      <c r="B419" s="109" t="s">
        <v>424</v>
      </c>
      <c r="C419" t="s">
        <v>11</v>
      </c>
      <c r="D419" s="9">
        <f t="shared" si="246"/>
        <v>1330608327</v>
      </c>
      <c r="E419" s="9">
        <f t="shared" si="246"/>
        <v>1273576572</v>
      </c>
      <c r="F419" s="9">
        <f t="shared" si="246"/>
        <v>953946575</v>
      </c>
      <c r="G419" s="9">
        <f t="shared" si="250"/>
        <v>1055655334.8875135</v>
      </c>
      <c r="H419" s="9">
        <f t="shared" si="250"/>
        <v>1137798030.6309695</v>
      </c>
      <c r="I419" s="9">
        <f t="shared" si="248"/>
        <v>1222444935.8512554</v>
      </c>
      <c r="J419" s="9">
        <f t="shared" si="248"/>
        <v>1264907499.2944293</v>
      </c>
      <c r="K419" s="9">
        <f t="shared" si="248"/>
        <v>1312118576.7579441</v>
      </c>
      <c r="L419" s="9">
        <f t="shared" si="248"/>
        <v>1356884198.7498612</v>
      </c>
      <c r="M419" s="9">
        <f t="shared" si="248"/>
        <v>1404578678.3359189</v>
      </c>
      <c r="N419" s="9">
        <f t="shared" si="248"/>
        <v>1453949618.8794262</v>
      </c>
      <c r="O419" s="9">
        <f t="shared" si="248"/>
        <v>1505055947.9830377</v>
      </c>
      <c r="P419" s="9">
        <f t="shared" si="248"/>
        <v>1557958664.5546415</v>
      </c>
      <c r="Q419" s="9">
        <f t="shared" si="248"/>
        <v>1565748457.8774149</v>
      </c>
    </row>
    <row r="420" spans="2:17" hidden="1" outlineLevel="1" x14ac:dyDescent="0.25">
      <c r="B420" s="10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</row>
    <row r="421" spans="2:17" hidden="1" outlineLevel="1" x14ac:dyDescent="0.25">
      <c r="B421" s="109" t="s">
        <v>1424</v>
      </c>
      <c r="C421" t="s">
        <v>11</v>
      </c>
      <c r="D421" s="9"/>
      <c r="E421" s="9">
        <f>-(E414-D414)</f>
        <v>-27905869490</v>
      </c>
      <c r="F421" s="9">
        <f>-(F414-E414)</f>
        <v>-56549606358</v>
      </c>
      <c r="G421" s="9">
        <f>-(G414-F414)</f>
        <v>-11651439724.088654</v>
      </c>
      <c r="H421" s="9">
        <f>-(H414-G414)</f>
        <v>-12302871365.559448</v>
      </c>
      <c r="I421" s="9">
        <f t="shared" ref="I421:Q421" si="251">-(I414-H414)</f>
        <v>18013249319.453033</v>
      </c>
      <c r="J421" s="9">
        <f t="shared" si="251"/>
        <v>23608353819.943542</v>
      </c>
      <c r="K421" s="9">
        <f t="shared" si="251"/>
        <v>23235875471.772079</v>
      </c>
      <c r="L421" s="9">
        <f t="shared" si="251"/>
        <v>24662595034.299881</v>
      </c>
      <c r="M421" s="9">
        <f t="shared" si="251"/>
        <v>-2855039329.8773346</v>
      </c>
      <c r="N421" s="9">
        <f t="shared" si="251"/>
        <v>-2955393962.3225555</v>
      </c>
      <c r="O421" s="9">
        <f t="shared" si="251"/>
        <v>-3059276060.0981903</v>
      </c>
      <c r="P421" s="9">
        <f t="shared" si="251"/>
        <v>-3166809613.6105652</v>
      </c>
      <c r="Q421" s="9">
        <f t="shared" si="251"/>
        <v>-466304832.36546326</v>
      </c>
    </row>
    <row r="422" spans="2:17" hidden="1" outlineLevel="1" x14ac:dyDescent="0.25">
      <c r="B422" s="10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</row>
    <row r="423" spans="2:17" collapsed="1" x14ac:dyDescent="0.25"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</row>
    <row r="424" spans="2:17" s="16" customFormat="1" x14ac:dyDescent="0.25">
      <c r="B424" s="17" t="s">
        <v>1133</v>
      </c>
      <c r="C424" s="17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</row>
    <row r="425" spans="2:17" hidden="1" outlineLevel="1" x14ac:dyDescent="0.25"/>
    <row r="426" spans="2:17" s="6" customFormat="1" hidden="1" outlineLevel="1" x14ac:dyDescent="0.25">
      <c r="B426" s="6" t="s">
        <v>1131</v>
      </c>
      <c r="E426" s="6">
        <f t="shared" ref="E426:Q426" si="252">+E399</f>
        <v>0.1340092164040152</v>
      </c>
      <c r="F426" s="6">
        <f t="shared" si="252"/>
        <v>6.9974308560087461E-2</v>
      </c>
      <c r="G426" s="6">
        <f t="shared" si="252"/>
        <v>0.10661892662858352</v>
      </c>
      <c r="H426" s="6">
        <f t="shared" si="252"/>
        <v>7.7812040567396767E-2</v>
      </c>
      <c r="I426" s="6">
        <f t="shared" si="252"/>
        <v>7.4395369776958375E-2</v>
      </c>
      <c r="J426" s="6">
        <f t="shared" si="252"/>
        <v>3.4735767802583917E-2</v>
      </c>
      <c r="K426" s="6">
        <f t="shared" si="252"/>
        <v>3.7323739079615947E-2</v>
      </c>
      <c r="L426" s="6">
        <f t="shared" si="252"/>
        <v>3.4117055260757478E-2</v>
      </c>
      <c r="M426" s="6">
        <f t="shared" si="252"/>
        <v>3.5150000000000015E-2</v>
      </c>
      <c r="N426" s="6">
        <f t="shared" si="252"/>
        <v>3.5149999999999793E-2</v>
      </c>
      <c r="O426" s="6">
        <f t="shared" si="252"/>
        <v>3.5149999999999793E-2</v>
      </c>
      <c r="P426" s="6">
        <f t="shared" si="252"/>
        <v>3.5150000000000015E-2</v>
      </c>
      <c r="Q426" s="6">
        <f t="shared" si="252"/>
        <v>5.0000000000001155E-3</v>
      </c>
    </row>
    <row r="427" spans="2:17" hidden="1" outlineLevel="1" x14ac:dyDescent="0.25"/>
    <row r="428" spans="2:17" s="102" customFormat="1" hidden="1" outlineLevel="1" x14ac:dyDescent="0.25">
      <c r="B428" s="117" t="s">
        <v>1070</v>
      </c>
      <c r="D428" s="102">
        <f t="shared" ref="D428:F430" si="253">+D37/D$37</f>
        <v>1</v>
      </c>
      <c r="E428" s="102">
        <f t="shared" si="253"/>
        <v>1</v>
      </c>
      <c r="F428" s="102">
        <f t="shared" si="253"/>
        <v>1</v>
      </c>
    </row>
    <row r="429" spans="2:17" s="6" customFormat="1" hidden="1" outlineLevel="1" x14ac:dyDescent="0.25">
      <c r="B429" s="118" t="s">
        <v>1058</v>
      </c>
      <c r="D429" s="6">
        <f t="shared" si="253"/>
        <v>0.71282868207889605</v>
      </c>
      <c r="E429" s="6">
        <f t="shared" si="253"/>
        <v>0.72081213389127252</v>
      </c>
      <c r="F429" s="6">
        <f t="shared" si="253"/>
        <v>0.6581053471694841</v>
      </c>
      <c r="G429" s="7">
        <v>0.67500000000000004</v>
      </c>
      <c r="H429" s="6">
        <f>+G429</f>
        <v>0.67500000000000004</v>
      </c>
      <c r="I429" s="6">
        <f t="shared" ref="I429:Q430" si="254">+H429</f>
        <v>0.67500000000000004</v>
      </c>
      <c r="J429" s="6">
        <f t="shared" si="254"/>
        <v>0.67500000000000004</v>
      </c>
      <c r="K429" s="6">
        <f t="shared" si="254"/>
        <v>0.67500000000000004</v>
      </c>
      <c r="L429" s="6">
        <f t="shared" si="254"/>
        <v>0.67500000000000004</v>
      </c>
      <c r="M429" s="6">
        <f t="shared" si="254"/>
        <v>0.67500000000000004</v>
      </c>
      <c r="N429" s="6">
        <f t="shared" si="254"/>
        <v>0.67500000000000004</v>
      </c>
      <c r="O429" s="6">
        <f t="shared" si="254"/>
        <v>0.67500000000000004</v>
      </c>
      <c r="P429" s="6">
        <f t="shared" si="254"/>
        <v>0.67500000000000004</v>
      </c>
      <c r="Q429" s="6">
        <f t="shared" si="254"/>
        <v>0.67500000000000004</v>
      </c>
    </row>
    <row r="430" spans="2:17" s="6" customFormat="1" hidden="1" outlineLevel="1" x14ac:dyDescent="0.25">
      <c r="B430" s="118" t="s">
        <v>1059</v>
      </c>
      <c r="D430" s="6">
        <f t="shared" si="253"/>
        <v>0</v>
      </c>
      <c r="E430" s="6">
        <f t="shared" si="253"/>
        <v>0.27874533252276629</v>
      </c>
      <c r="F430" s="6">
        <f t="shared" si="253"/>
        <v>0.17594843694027973</v>
      </c>
      <c r="G430" s="7">
        <f>+(1)-G429</f>
        <v>0.32499999999999996</v>
      </c>
      <c r="H430" s="6">
        <f>+G430</f>
        <v>0.32499999999999996</v>
      </c>
      <c r="I430" s="6">
        <f t="shared" si="254"/>
        <v>0.32499999999999996</v>
      </c>
      <c r="J430" s="6">
        <f t="shared" si="254"/>
        <v>0.32499999999999996</v>
      </c>
      <c r="K430" s="6">
        <f t="shared" si="254"/>
        <v>0.32499999999999996</v>
      </c>
      <c r="L430" s="6">
        <f t="shared" si="254"/>
        <v>0.32499999999999996</v>
      </c>
      <c r="M430" s="6">
        <f t="shared" si="254"/>
        <v>0.32499999999999996</v>
      </c>
      <c r="N430" s="6">
        <f t="shared" si="254"/>
        <v>0.32499999999999996</v>
      </c>
      <c r="O430" s="6">
        <f t="shared" si="254"/>
        <v>0.32499999999999996</v>
      </c>
      <c r="P430" s="6">
        <f t="shared" si="254"/>
        <v>0.32499999999999996</v>
      </c>
      <c r="Q430" s="6">
        <f t="shared" si="254"/>
        <v>0.32499999999999996</v>
      </c>
    </row>
    <row r="431" spans="2:17" hidden="1" outlineLevel="1" x14ac:dyDescent="0.25">
      <c r="G431" s="1">
        <f>+F37/F71*360</f>
        <v>192.35107759890505</v>
      </c>
      <c r="H431" s="1">
        <f>+G37/G71*360</f>
        <v>233.9747531786717</v>
      </c>
    </row>
    <row r="432" spans="2:17" s="16" customFormat="1" hidden="1" outlineLevel="1" x14ac:dyDescent="0.25">
      <c r="B432" s="16" t="s">
        <v>1134</v>
      </c>
      <c r="D432" s="120">
        <f>+D37/D71*360</f>
        <v>92.822856270847808</v>
      </c>
      <c r="E432" s="120">
        <f>+E37/E71*360</f>
        <v>129.83280150336051</v>
      </c>
      <c r="F432" s="120">
        <f>+F37/F71*360</f>
        <v>192.35107759890505</v>
      </c>
      <c r="G432" s="120">
        <f>+'Panel de control'!D87</f>
        <v>187</v>
      </c>
      <c r="H432" s="325">
        <f>+'Panel de control'!E87</f>
        <v>187</v>
      </c>
      <c r="I432" s="325">
        <f>+'Panel de control'!F87</f>
        <v>187</v>
      </c>
      <c r="J432" s="325">
        <f>+'Panel de control'!G87</f>
        <v>187</v>
      </c>
      <c r="K432" s="325">
        <f>+'Panel de control'!H87</f>
        <v>187</v>
      </c>
      <c r="L432" s="325">
        <f>+'Panel de control'!I87</f>
        <v>187</v>
      </c>
      <c r="M432" s="325">
        <f>+'Panel de control'!J87</f>
        <v>187</v>
      </c>
      <c r="N432" s="325">
        <f>+'Panel de control'!K87</f>
        <v>187</v>
      </c>
      <c r="O432" s="325">
        <f>+'Panel de control'!L87</f>
        <v>187</v>
      </c>
      <c r="P432" s="325">
        <f>+'Panel de control'!M87</f>
        <v>187</v>
      </c>
      <c r="Q432" s="120">
        <f>+P432</f>
        <v>187</v>
      </c>
    </row>
    <row r="433" spans="2:17" s="16" customFormat="1" hidden="1" outlineLevel="1" x14ac:dyDescent="0.25">
      <c r="B433" s="16" t="s">
        <v>1578</v>
      </c>
      <c r="D433" s="120"/>
      <c r="E433" s="120"/>
      <c r="F433" s="120"/>
      <c r="G433" s="120"/>
      <c r="H433" s="9">
        <f t="shared" ref="H433:Q433" si="255">+H71/360*1</f>
        <v>4742922222.2222223</v>
      </c>
      <c r="I433" s="9">
        <f t="shared" si="255"/>
        <v>4755964438.5742769</v>
      </c>
      <c r="J433" s="9">
        <f t="shared" si="255"/>
        <v>5150709486.9759417</v>
      </c>
      <c r="K433" s="9">
        <f t="shared" si="255"/>
        <v>5284627933.6373167</v>
      </c>
      <c r="L433" s="9">
        <f t="shared" si="255"/>
        <v>5395605120.2437</v>
      </c>
      <c r="M433" s="9">
        <f t="shared" si="255"/>
        <v>5508912827.7688169</v>
      </c>
      <c r="N433" s="9">
        <f t="shared" si="255"/>
        <v>5652144561.2908068</v>
      </c>
      <c r="O433" s="9">
        <f t="shared" si="255"/>
        <v>5838665331.8134022</v>
      </c>
      <c r="P433" s="9">
        <f t="shared" si="255"/>
        <v>6043018618.4268713</v>
      </c>
      <c r="Q433" s="9">
        <f t="shared" si="255"/>
        <v>6073233711.5190048</v>
      </c>
    </row>
    <row r="434" spans="2:17" hidden="1" outlineLevel="1" x14ac:dyDescent="0.25">
      <c r="H434" s="1">
        <f>58000000000/H433</f>
        <v>12.228747865240136</v>
      </c>
    </row>
    <row r="435" spans="2:17" s="16" customFormat="1" hidden="1" outlineLevel="1" x14ac:dyDescent="0.25">
      <c r="B435" s="110" t="s">
        <v>1070</v>
      </c>
      <c r="D435" s="12">
        <f>+D436+D440</f>
        <v>231337558977</v>
      </c>
      <c r="E435" s="12">
        <f>+E436+E440</f>
        <v>510154477154</v>
      </c>
      <c r="F435" s="12">
        <f>+F436+F440</f>
        <v>801950711270.19678</v>
      </c>
      <c r="G435" s="12">
        <f>+G436+G440</f>
        <v>884224929514.66138</v>
      </c>
      <c r="H435" s="12">
        <f t="shared" ref="H435:Q435" si="256">+H436+H440</f>
        <v>936926455555.55542</v>
      </c>
      <c r="I435" s="12">
        <f t="shared" si="256"/>
        <v>939365350013.38965</v>
      </c>
      <c r="J435" s="12">
        <f t="shared" si="256"/>
        <v>1013182674064.5011</v>
      </c>
      <c r="K435" s="12">
        <f t="shared" si="256"/>
        <v>1038225423590.1782</v>
      </c>
      <c r="L435" s="12">
        <f t="shared" si="256"/>
        <v>1058978157485.5718</v>
      </c>
      <c r="M435" s="12">
        <f t="shared" si="256"/>
        <v>1080166698792.7688</v>
      </c>
      <c r="N435" s="12">
        <f t="shared" si="256"/>
        <v>1106951032961.3809</v>
      </c>
      <c r="O435" s="12">
        <f t="shared" si="256"/>
        <v>1141830417049.1062</v>
      </c>
      <c r="P435" s="12">
        <f t="shared" si="256"/>
        <v>1180044481645.825</v>
      </c>
      <c r="Q435" s="12">
        <f t="shared" si="256"/>
        <v>1185694704054.054</v>
      </c>
    </row>
    <row r="436" spans="2:17" hidden="1" outlineLevel="1" x14ac:dyDescent="0.25">
      <c r="B436" s="109" t="s">
        <v>1058</v>
      </c>
      <c r="C436" s="9" t="s">
        <v>11</v>
      </c>
      <c r="D436" s="9">
        <f>+D38</f>
        <v>231337558977</v>
      </c>
      <c r="E436" s="9">
        <f>+E38</f>
        <v>367888340238</v>
      </c>
      <c r="F436" s="9">
        <f>+F38</f>
        <v>632774601960</v>
      </c>
      <c r="G436" s="9">
        <f>+G437+G438+G439</f>
        <v>697011445018.61145</v>
      </c>
      <c r="H436" s="9">
        <f t="shared" ref="H436:Q436" si="257">+H437+H438+H439</f>
        <v>735145507809.13525</v>
      </c>
      <c r="I436" s="9">
        <f t="shared" si="257"/>
        <v>722572834045.42944</v>
      </c>
      <c r="J436" s="9">
        <f t="shared" si="257"/>
        <v>788859703600.53979</v>
      </c>
      <c r="K436" s="9">
        <f t="shared" si="257"/>
        <v>805529881107.05566</v>
      </c>
      <c r="L436" s="9">
        <f>+L437+L438+L439</f>
        <v>818343728320.62061</v>
      </c>
      <c r="M436" s="9">
        <f t="shared" si="257"/>
        <v>831073969442.66956</v>
      </c>
      <c r="N436" s="9">
        <f t="shared" si="257"/>
        <v>849102694174.62561</v>
      </c>
      <c r="O436" s="9">
        <f t="shared" si="257"/>
        <v>874918709153.99658</v>
      </c>
      <c r="P436" s="9">
        <f t="shared" si="257"/>
        <v>903750827218.20215</v>
      </c>
      <c r="Q436" s="9">
        <f t="shared" si="257"/>
        <v>908019581354.29309</v>
      </c>
    </row>
    <row r="437" spans="2:17" hidden="1" outlineLevel="1" x14ac:dyDescent="0.25">
      <c r="B437" s="121" t="s">
        <v>1136</v>
      </c>
      <c r="C437" s="9" t="s">
        <v>11</v>
      </c>
      <c r="D437" s="9"/>
      <c r="E437" s="9"/>
      <c r="F437" s="9">
        <f>+F436-F438</f>
        <v>582774601960</v>
      </c>
      <c r="G437" s="9">
        <f t="shared" ref="G437:Q437" si="258">+G71/360*G432-G440</f>
        <v>647011445018.61145</v>
      </c>
      <c r="H437" s="9">
        <f t="shared" si="258"/>
        <v>685145507809.13525</v>
      </c>
      <c r="I437" s="9">
        <f t="shared" si="258"/>
        <v>672572834045.42944</v>
      </c>
      <c r="J437" s="9">
        <f t="shared" si="258"/>
        <v>738859703600.53979</v>
      </c>
      <c r="K437" s="9">
        <f t="shared" si="258"/>
        <v>755529881107.05566</v>
      </c>
      <c r="L437" s="9">
        <f t="shared" si="258"/>
        <v>768343728320.62061</v>
      </c>
      <c r="M437" s="9">
        <f t="shared" si="258"/>
        <v>781073969442.66956</v>
      </c>
      <c r="N437" s="9">
        <f t="shared" si="258"/>
        <v>799102694174.62561</v>
      </c>
      <c r="O437" s="9">
        <f t="shared" si="258"/>
        <v>824918709153.99658</v>
      </c>
      <c r="P437" s="9">
        <f t="shared" si="258"/>
        <v>853750827218.20215</v>
      </c>
      <c r="Q437" s="9">
        <f t="shared" si="258"/>
        <v>858019581354.29309</v>
      </c>
    </row>
    <row r="438" spans="2:17" hidden="1" outlineLevel="1" x14ac:dyDescent="0.25">
      <c r="B438" s="121" t="s">
        <v>1425</v>
      </c>
      <c r="C438" s="9" t="s">
        <v>11</v>
      </c>
      <c r="D438" s="9"/>
      <c r="E438" s="9"/>
      <c r="F438" s="13">
        <v>50000000000</v>
      </c>
      <c r="G438" s="9">
        <f>+F438-ACRE2delete!D26</f>
        <v>50000000000</v>
      </c>
      <c r="H438" s="9">
        <f>+G438</f>
        <v>50000000000</v>
      </c>
      <c r="I438" s="9">
        <f t="shared" ref="I438:Q438" si="259">+H438</f>
        <v>50000000000</v>
      </c>
      <c r="J438" s="9">
        <f t="shared" si="259"/>
        <v>50000000000</v>
      </c>
      <c r="K438" s="9">
        <f t="shared" si="259"/>
        <v>50000000000</v>
      </c>
      <c r="L438" s="9">
        <f t="shared" si="259"/>
        <v>50000000000</v>
      </c>
      <c r="M438" s="9">
        <f t="shared" si="259"/>
        <v>50000000000</v>
      </c>
      <c r="N438" s="9">
        <f t="shared" si="259"/>
        <v>50000000000</v>
      </c>
      <c r="O438" s="9">
        <f t="shared" si="259"/>
        <v>50000000000</v>
      </c>
      <c r="P438" s="9">
        <f t="shared" si="259"/>
        <v>50000000000</v>
      </c>
      <c r="Q438" s="9">
        <f t="shared" si="259"/>
        <v>50000000000</v>
      </c>
    </row>
    <row r="439" spans="2:17" hidden="1" outlineLevel="1" x14ac:dyDescent="0.25">
      <c r="B439" s="121" t="s">
        <v>1579</v>
      </c>
      <c r="C439" s="9"/>
      <c r="D439" s="9"/>
      <c r="E439" s="9"/>
      <c r="F439" s="13"/>
      <c r="G439" s="9">
        <f>-'Panel de control'!J7</f>
        <v>0</v>
      </c>
      <c r="H439" s="9"/>
      <c r="I439" s="9"/>
      <c r="J439" s="9"/>
      <c r="K439" s="9"/>
      <c r="L439" s="9"/>
      <c r="M439" s="9"/>
      <c r="N439" s="9"/>
      <c r="O439" s="9"/>
      <c r="P439" s="9"/>
      <c r="Q439" s="9"/>
    </row>
    <row r="440" spans="2:17" hidden="1" outlineLevel="1" x14ac:dyDescent="0.25">
      <c r="B440" s="109" t="s">
        <v>1059</v>
      </c>
      <c r="C440" s="9" t="s">
        <v>11</v>
      </c>
      <c r="D440" s="9">
        <f>+D39</f>
        <v>0</v>
      </c>
      <c r="E440" s="9">
        <f>+E39</f>
        <v>142266136916</v>
      </c>
      <c r="F440" s="9">
        <f>+F39</f>
        <v>169176109310.19681</v>
      </c>
      <c r="G440" s="9">
        <f>+F440*(1+G426)</f>
        <v>187213484496.0499</v>
      </c>
      <c r="H440" s="9">
        <f>+G440*(1+H426)</f>
        <v>201780947746.42023</v>
      </c>
      <c r="I440" s="9">
        <f t="shared" ref="I440:Q440" si="260">+H440*(1+I426)</f>
        <v>216792515967.96027</v>
      </c>
      <c r="J440" s="9">
        <f t="shared" si="260"/>
        <v>224322970463.9613</v>
      </c>
      <c r="K440" s="9">
        <f t="shared" si="260"/>
        <v>232695542483.12259</v>
      </c>
      <c r="L440" s="9">
        <f t="shared" si="260"/>
        <v>240634429164.95123</v>
      </c>
      <c r="M440" s="9">
        <f t="shared" si="260"/>
        <v>249092729350.09927</v>
      </c>
      <c r="N440" s="9">
        <f t="shared" si="260"/>
        <v>257848338786.75522</v>
      </c>
      <c r="O440" s="9">
        <f t="shared" si="260"/>
        <v>266911707895.10962</v>
      </c>
      <c r="P440" s="9">
        <f t="shared" si="260"/>
        <v>276293654427.62274</v>
      </c>
      <c r="Q440" s="9">
        <f t="shared" si="260"/>
        <v>277675122699.76086</v>
      </c>
    </row>
    <row r="441" spans="2:17" collapsed="1" x14ac:dyDescent="0.25">
      <c r="B441" s="10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</row>
    <row r="442" spans="2:17" s="16" customFormat="1" x14ac:dyDescent="0.25">
      <c r="B442" s="17" t="s">
        <v>1137</v>
      </c>
      <c r="C442" s="17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</row>
    <row r="443" spans="2:17" hidden="1" outlineLevel="1" x14ac:dyDescent="0.25"/>
    <row r="444" spans="2:17" hidden="1" outlineLevel="1" x14ac:dyDescent="0.25">
      <c r="B444" s="110" t="s">
        <v>1071</v>
      </c>
    </row>
    <row r="445" spans="2:17" s="122" customFormat="1" hidden="1" outlineLevel="1" x14ac:dyDescent="0.25">
      <c r="B445" s="123" t="s">
        <v>1062</v>
      </c>
      <c r="C445" s="122" t="s">
        <v>1138</v>
      </c>
      <c r="D445" s="122">
        <f>+D45/D370*360</f>
        <v>2.5124139213000403</v>
      </c>
      <c r="E445" s="122">
        <f>+E45/E370*360</f>
        <v>14.446838561316651</v>
      </c>
      <c r="F445" s="122">
        <f>+F45/F370*360</f>
        <v>23.505425403473101</v>
      </c>
      <c r="G445" s="126">
        <v>20</v>
      </c>
      <c r="H445" s="122">
        <f>+G445</f>
        <v>20</v>
      </c>
      <c r="I445" s="122">
        <f t="shared" ref="I445:Q446" si="261">+H445</f>
        <v>20</v>
      </c>
      <c r="J445" s="122">
        <f t="shared" si="261"/>
        <v>20</v>
      </c>
      <c r="K445" s="122">
        <f t="shared" si="261"/>
        <v>20</v>
      </c>
      <c r="L445" s="122">
        <f t="shared" si="261"/>
        <v>20</v>
      </c>
      <c r="M445" s="122">
        <f t="shared" si="261"/>
        <v>20</v>
      </c>
      <c r="N445" s="122">
        <f t="shared" si="261"/>
        <v>20</v>
      </c>
      <c r="O445" s="122">
        <f t="shared" si="261"/>
        <v>20</v>
      </c>
      <c r="P445" s="122">
        <f t="shared" si="261"/>
        <v>20</v>
      </c>
      <c r="Q445" s="122">
        <f t="shared" si="261"/>
        <v>20</v>
      </c>
    </row>
    <row r="446" spans="2:17" hidden="1" outlineLevel="1" x14ac:dyDescent="0.25">
      <c r="B446" s="109" t="s">
        <v>1063</v>
      </c>
      <c r="C446" t="s">
        <v>1139</v>
      </c>
      <c r="D446" s="116">
        <f>D46/(D80-D81-D94-D95-D96)*360</f>
        <v>361.5810148794863</v>
      </c>
      <c r="E446" s="116">
        <f>E46/(E80-E81-E94-E95-E96)*360</f>
        <v>100.08054506903235</v>
      </c>
      <c r="F446" s="116">
        <f>F46/(F80-F81-F94-F95-F96)*360</f>
        <v>131.78491970735476</v>
      </c>
      <c r="G446" s="126">
        <v>130</v>
      </c>
      <c r="H446" s="122">
        <f>+G446</f>
        <v>130</v>
      </c>
      <c r="I446" s="122">
        <f t="shared" si="261"/>
        <v>130</v>
      </c>
      <c r="J446" s="122">
        <f t="shared" si="261"/>
        <v>130</v>
      </c>
      <c r="K446" s="122">
        <f t="shared" si="261"/>
        <v>130</v>
      </c>
      <c r="L446" s="122">
        <f t="shared" si="261"/>
        <v>130</v>
      </c>
      <c r="M446" s="122">
        <f t="shared" si="261"/>
        <v>130</v>
      </c>
      <c r="N446" s="122">
        <f t="shared" si="261"/>
        <v>130</v>
      </c>
      <c r="O446" s="122">
        <f t="shared" si="261"/>
        <v>130</v>
      </c>
      <c r="P446" s="122">
        <f t="shared" si="261"/>
        <v>130</v>
      </c>
      <c r="Q446" s="122">
        <f t="shared" si="261"/>
        <v>130</v>
      </c>
    </row>
    <row r="447" spans="2:17" hidden="1" outlineLevel="1" x14ac:dyDescent="0.25">
      <c r="B447" s="109" t="s">
        <v>1055</v>
      </c>
      <c r="C447" t="s">
        <v>1140</v>
      </c>
      <c r="D447" s="116">
        <f t="shared" ref="D447:F448" si="262">+D47/D$62*360</f>
        <v>0.1329652461900275</v>
      </c>
      <c r="E447" s="116">
        <f t="shared" si="262"/>
        <v>0.30939227109667983</v>
      </c>
      <c r="F447" s="116">
        <f t="shared" si="262"/>
        <v>0.56804457457374857</v>
      </c>
      <c r="G447" s="126">
        <v>0.5</v>
      </c>
      <c r="H447" s="122">
        <f>+G447</f>
        <v>0.5</v>
      </c>
      <c r="I447" s="122">
        <f t="shared" ref="I447:Q447" si="263">+H447</f>
        <v>0.5</v>
      </c>
      <c r="J447" s="122">
        <f t="shared" si="263"/>
        <v>0.5</v>
      </c>
      <c r="K447" s="122">
        <f t="shared" si="263"/>
        <v>0.5</v>
      </c>
      <c r="L447" s="122">
        <f t="shared" si="263"/>
        <v>0.5</v>
      </c>
      <c r="M447" s="122">
        <f t="shared" si="263"/>
        <v>0.5</v>
      </c>
      <c r="N447" s="122">
        <f t="shared" si="263"/>
        <v>0.5</v>
      </c>
      <c r="O447" s="122">
        <f t="shared" si="263"/>
        <v>0.5</v>
      </c>
      <c r="P447" s="122">
        <f t="shared" si="263"/>
        <v>0.5</v>
      </c>
      <c r="Q447" s="122">
        <f t="shared" si="263"/>
        <v>0.5</v>
      </c>
    </row>
    <row r="448" spans="2:17" hidden="1" outlineLevel="1" x14ac:dyDescent="0.25">
      <c r="B448" s="109" t="s">
        <v>1064</v>
      </c>
      <c r="C448" t="s">
        <v>1140</v>
      </c>
      <c r="D448" s="116">
        <f t="shared" si="262"/>
        <v>0.37644070810191071</v>
      </c>
      <c r="E448" s="116">
        <f t="shared" si="262"/>
        <v>0.38582039362637427</v>
      </c>
      <c r="F448" s="116">
        <f t="shared" si="262"/>
        <v>0.18762992771662415</v>
      </c>
      <c r="G448" s="126">
        <v>0.2</v>
      </c>
      <c r="H448" s="122">
        <f>+G448</f>
        <v>0.2</v>
      </c>
      <c r="I448" s="122">
        <f t="shared" ref="I448:Q448" si="264">+H448</f>
        <v>0.2</v>
      </c>
      <c r="J448" s="122">
        <f t="shared" si="264"/>
        <v>0.2</v>
      </c>
      <c r="K448" s="122">
        <f t="shared" si="264"/>
        <v>0.2</v>
      </c>
      <c r="L448" s="122">
        <f t="shared" si="264"/>
        <v>0.2</v>
      </c>
      <c r="M448" s="122">
        <f t="shared" si="264"/>
        <v>0.2</v>
      </c>
      <c r="N448" s="122">
        <f t="shared" si="264"/>
        <v>0.2</v>
      </c>
      <c r="O448" s="122">
        <f t="shared" si="264"/>
        <v>0.2</v>
      </c>
      <c r="P448" s="122">
        <f t="shared" si="264"/>
        <v>0.2</v>
      </c>
      <c r="Q448" s="122">
        <f t="shared" si="264"/>
        <v>0.2</v>
      </c>
    </row>
    <row r="449" spans="2:17" hidden="1" outlineLevel="1" x14ac:dyDescent="0.25"/>
    <row r="450" spans="2:17" s="9" customFormat="1" hidden="1" outlineLevel="1" x14ac:dyDescent="0.25">
      <c r="B450" s="124" t="s">
        <v>1071</v>
      </c>
    </row>
    <row r="451" spans="2:17" s="9" customFormat="1" hidden="1" outlineLevel="1" x14ac:dyDescent="0.25">
      <c r="B451" s="125" t="s">
        <v>1062</v>
      </c>
      <c r="C451" s="9" t="s">
        <v>11</v>
      </c>
      <c r="D451" s="9">
        <f t="shared" ref="D451:F454" si="265">+D45</f>
        <v>319190782</v>
      </c>
      <c r="E451" s="9">
        <f t="shared" si="265"/>
        <v>1168712162</v>
      </c>
      <c r="F451" s="9">
        <f t="shared" si="265"/>
        <v>2344303138</v>
      </c>
      <c r="G451" s="9">
        <f t="shared" ref="G451:Q451" si="266">+G81/360*G445</f>
        <v>2297915248.7434607</v>
      </c>
      <c r="H451" s="9">
        <f t="shared" si="266"/>
        <v>2747077192.0555553</v>
      </c>
      <c r="I451" s="9">
        <f t="shared" si="266"/>
        <v>3078034682.7149324</v>
      </c>
      <c r="J451" s="9">
        <f t="shared" si="266"/>
        <v>3216546243.4371042</v>
      </c>
      <c r="K451" s="9">
        <f t="shared" si="266"/>
        <v>3345208093.1745882</v>
      </c>
      <c r="L451" s="9">
        <f t="shared" si="266"/>
        <v>3479016416.9015718</v>
      </c>
      <c r="M451" s="9">
        <f t="shared" si="266"/>
        <v>3618177073.5776348</v>
      </c>
      <c r="N451" s="9">
        <f t="shared" si="266"/>
        <v>3762904156.5207396</v>
      </c>
      <c r="O451" s="9">
        <f t="shared" si="266"/>
        <v>3913420322.7815695</v>
      </c>
      <c r="P451" s="9">
        <f t="shared" si="266"/>
        <v>4069957135.6928329</v>
      </c>
      <c r="Q451" s="9">
        <f t="shared" si="266"/>
        <v>4232755421.1205459</v>
      </c>
    </row>
    <row r="452" spans="2:17" s="9" customFormat="1" hidden="1" outlineLevel="1" x14ac:dyDescent="0.25">
      <c r="B452" s="125" t="s">
        <v>1063</v>
      </c>
      <c r="C452" s="9" t="s">
        <v>11</v>
      </c>
      <c r="D452" s="9">
        <f t="shared" si="265"/>
        <v>9421673574</v>
      </c>
      <c r="E452" s="9">
        <f t="shared" si="265"/>
        <v>8033154825</v>
      </c>
      <c r="F452" s="9">
        <f t="shared" si="265"/>
        <v>6024019286</v>
      </c>
      <c r="G452" s="9">
        <f t="shared" ref="G452:Q452" si="267">+(G80-G81-G94-G95-G96)/360*G446</f>
        <v>8098897858.3525314</v>
      </c>
      <c r="H452" s="9">
        <f t="shared" si="267"/>
        <v>9818127667.6307526</v>
      </c>
      <c r="I452" s="9">
        <f t="shared" si="267"/>
        <v>9189411237.0114021</v>
      </c>
      <c r="J452" s="9">
        <f t="shared" si="267"/>
        <v>9602836296.9269104</v>
      </c>
      <c r="K452" s="9">
        <f t="shared" si="267"/>
        <v>9986744981.6439857</v>
      </c>
      <c r="L452" s="9">
        <f t="shared" si="267"/>
        <v>10386003870.734953</v>
      </c>
      <c r="M452" s="9">
        <f t="shared" si="267"/>
        <v>10801226788.084312</v>
      </c>
      <c r="N452" s="9">
        <f t="shared" si="267"/>
        <v>11233052105.003227</v>
      </c>
      <c r="O452" s="9">
        <f t="shared" si="267"/>
        <v>11682143721.960772</v>
      </c>
      <c r="P452" s="9">
        <f t="shared" si="267"/>
        <v>12149192089.579355</v>
      </c>
      <c r="Q452" s="9">
        <f t="shared" si="267"/>
        <v>12634915270.464884</v>
      </c>
    </row>
    <row r="453" spans="2:17" s="9" customFormat="1" hidden="1" outlineLevel="1" x14ac:dyDescent="0.25">
      <c r="B453" s="125" t="s">
        <v>1055</v>
      </c>
      <c r="C453" s="9" t="s">
        <v>11</v>
      </c>
      <c r="D453" s="9">
        <f t="shared" si="265"/>
        <v>439681158</v>
      </c>
      <c r="E453" s="9">
        <f t="shared" si="265"/>
        <v>1160181023</v>
      </c>
      <c r="F453" s="9">
        <f t="shared" si="265"/>
        <v>2279145562</v>
      </c>
      <c r="G453" s="9">
        <f>+G$62/360*G447</f>
        <v>2220024385.7124386</v>
      </c>
      <c r="H453" s="9">
        <f t="shared" ref="H453:M453" si="268">+H$62/360*H447</f>
        <v>2392769013.2741046</v>
      </c>
      <c r="I453" s="9">
        <f t="shared" si="268"/>
        <v>2570779948.8074794</v>
      </c>
      <c r="J453" s="9">
        <f t="shared" si="268"/>
        <v>2660077964.1807947</v>
      </c>
      <c r="K453" s="9">
        <f t="shared" si="268"/>
        <v>2759362020.0473151</v>
      </c>
      <c r="L453" s="9">
        <f t="shared" si="268"/>
        <v>2853503326.5697045</v>
      </c>
      <c r="M453" s="9">
        <f t="shared" si="268"/>
        <v>2953803968.4986296</v>
      </c>
      <c r="N453" s="9">
        <f t="shared" ref="N453:Q454" si="269">+N$62/360*N447</f>
        <v>3057630177.9913554</v>
      </c>
      <c r="O453" s="9">
        <f t="shared" si="269"/>
        <v>3165105878.7477512</v>
      </c>
      <c r="P453" s="9">
        <f t="shared" si="269"/>
        <v>3276359350.3857346</v>
      </c>
      <c r="Q453" s="9">
        <f t="shared" si="269"/>
        <v>3292741147.1376634</v>
      </c>
    </row>
    <row r="454" spans="2:17" s="9" customFormat="1" hidden="1" outlineLevel="1" x14ac:dyDescent="0.25">
      <c r="B454" s="125" t="s">
        <v>1064</v>
      </c>
      <c r="C454" s="9" t="s">
        <v>11</v>
      </c>
      <c r="D454" s="9">
        <f t="shared" si="265"/>
        <v>1244790584</v>
      </c>
      <c r="E454" s="9">
        <f t="shared" si="265"/>
        <v>1446776603</v>
      </c>
      <c r="F454" s="9">
        <f t="shared" si="265"/>
        <v>752821057</v>
      </c>
      <c r="G454" s="9">
        <f>+G$62/360*G448</f>
        <v>888009754.28497553</v>
      </c>
      <c r="H454" s="9">
        <f t="shared" ref="H454:M454" si="270">+H$62/360*H448</f>
        <v>957107605.30964184</v>
      </c>
      <c r="I454" s="9">
        <f t="shared" si="270"/>
        <v>1028311979.5229918</v>
      </c>
      <c r="J454" s="9">
        <f t="shared" si="270"/>
        <v>1064031185.672318</v>
      </c>
      <c r="K454" s="9">
        <f t="shared" si="270"/>
        <v>1103744808.0189261</v>
      </c>
      <c r="L454" s="9">
        <f t="shared" si="270"/>
        <v>1141401330.6278818</v>
      </c>
      <c r="M454" s="9">
        <f t="shared" si="270"/>
        <v>1181521587.399452</v>
      </c>
      <c r="N454" s="9">
        <f t="shared" si="269"/>
        <v>1223052071.1965423</v>
      </c>
      <c r="O454" s="9">
        <f t="shared" si="269"/>
        <v>1266042351.4991004</v>
      </c>
      <c r="P454" s="9">
        <f t="shared" si="269"/>
        <v>1310543740.154294</v>
      </c>
      <c r="Q454" s="9">
        <f t="shared" si="269"/>
        <v>1317096458.8550653</v>
      </c>
    </row>
    <row r="455" spans="2:17" s="9" customFormat="1" collapsed="1" x14ac:dyDescent="0.25"/>
    <row r="456" spans="2:17" s="16" customFormat="1" x14ac:dyDescent="0.25">
      <c r="B456" s="17" t="s">
        <v>1141</v>
      </c>
      <c r="C456" s="17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</row>
    <row r="457" spans="2:17" s="9" customFormat="1" hidden="1" outlineLevel="1" x14ac:dyDescent="0.25"/>
    <row r="458" spans="2:17" s="9" customFormat="1" hidden="1" outlineLevel="1" x14ac:dyDescent="0.25">
      <c r="B458" s="110" t="s">
        <v>150</v>
      </c>
    </row>
    <row r="459" spans="2:17" s="9" customFormat="1" hidden="1" outlineLevel="1" x14ac:dyDescent="0.25">
      <c r="B459" s="109" t="s">
        <v>1055</v>
      </c>
      <c r="C459" t="s">
        <v>1140</v>
      </c>
      <c r="D459" s="116">
        <f t="shared" ref="D459:F460" si="271">+D31/D$62*360</f>
        <v>13.576225770470515</v>
      </c>
      <c r="E459" s="116">
        <f t="shared" si="271"/>
        <v>8.975820766418602</v>
      </c>
      <c r="F459" s="116">
        <f t="shared" si="271"/>
        <v>4.9006183246783461</v>
      </c>
      <c r="G459" s="127">
        <v>5</v>
      </c>
      <c r="H459" s="116">
        <f>+G459</f>
        <v>5</v>
      </c>
      <c r="I459" s="116">
        <f t="shared" ref="I459:Q460" si="272">+H459</f>
        <v>5</v>
      </c>
      <c r="J459" s="116">
        <f t="shared" si="272"/>
        <v>5</v>
      </c>
      <c r="K459" s="116">
        <f t="shared" si="272"/>
        <v>5</v>
      </c>
      <c r="L459" s="116">
        <f t="shared" si="272"/>
        <v>5</v>
      </c>
      <c r="M459" s="116">
        <f t="shared" si="272"/>
        <v>5</v>
      </c>
      <c r="N459" s="116">
        <f t="shared" si="272"/>
        <v>5</v>
      </c>
      <c r="O459" s="116">
        <f t="shared" si="272"/>
        <v>5</v>
      </c>
      <c r="P459" s="116">
        <f t="shared" si="272"/>
        <v>5</v>
      </c>
      <c r="Q459" s="116">
        <f t="shared" si="272"/>
        <v>5</v>
      </c>
    </row>
    <row r="460" spans="2:17" s="9" customFormat="1" hidden="1" outlineLevel="1" x14ac:dyDescent="0.25">
      <c r="B460" s="109" t="s">
        <v>1056</v>
      </c>
      <c r="C460" t="s">
        <v>1140</v>
      </c>
      <c r="D460" s="116">
        <f t="shared" si="271"/>
        <v>0</v>
      </c>
      <c r="E460" s="116">
        <f t="shared" si="271"/>
        <v>0.25643842520803478</v>
      </c>
      <c r="F460" s="116">
        <f t="shared" si="271"/>
        <v>0.85490491842362704</v>
      </c>
      <c r="G460" s="127">
        <v>0.85</v>
      </c>
      <c r="H460" s="116">
        <f>+G460</f>
        <v>0.85</v>
      </c>
      <c r="I460" s="116">
        <f t="shared" si="272"/>
        <v>0.85</v>
      </c>
      <c r="J460" s="116">
        <f t="shared" si="272"/>
        <v>0.85</v>
      </c>
      <c r="K460" s="116">
        <f t="shared" si="272"/>
        <v>0.85</v>
      </c>
      <c r="L460" s="116">
        <f t="shared" si="272"/>
        <v>0.85</v>
      </c>
      <c r="M460" s="116">
        <f t="shared" si="272"/>
        <v>0.85</v>
      </c>
      <c r="N460" s="116">
        <f t="shared" si="272"/>
        <v>0.85</v>
      </c>
      <c r="O460" s="116">
        <f t="shared" si="272"/>
        <v>0.85</v>
      </c>
      <c r="P460" s="116">
        <f t="shared" si="272"/>
        <v>0.85</v>
      </c>
      <c r="Q460" s="116">
        <f t="shared" si="272"/>
        <v>0.85</v>
      </c>
    </row>
    <row r="461" spans="2:17" s="9" customFormat="1" hidden="1" outlineLevel="1" x14ac:dyDescent="0.25"/>
    <row r="462" spans="2:17" s="9" customFormat="1" hidden="1" outlineLevel="1" x14ac:dyDescent="0.25">
      <c r="B462" s="110" t="s">
        <v>150</v>
      </c>
    </row>
    <row r="463" spans="2:17" s="9" customFormat="1" hidden="1" outlineLevel="1" x14ac:dyDescent="0.25">
      <c r="B463" s="109" t="s">
        <v>1055</v>
      </c>
      <c r="C463" s="9" t="s">
        <v>11</v>
      </c>
      <c r="D463" s="9">
        <f t="shared" ref="D463:F464" si="273">+D31</f>
        <v>44893014070</v>
      </c>
      <c r="E463" s="9">
        <f t="shared" si="273"/>
        <v>33658167614</v>
      </c>
      <c r="F463" s="9">
        <f t="shared" si="273"/>
        <v>19662581082</v>
      </c>
      <c r="G463" s="9">
        <f>+G$62/360*G459</f>
        <v>22200243857.124386</v>
      </c>
      <c r="H463" s="9">
        <f t="shared" ref="H463:M463" si="274">+H$62/360*H459</f>
        <v>23927690132.741047</v>
      </c>
      <c r="I463" s="9">
        <f t="shared" si="274"/>
        <v>25707799488.074795</v>
      </c>
      <c r="J463" s="9">
        <f t="shared" si="274"/>
        <v>26600779641.807945</v>
      </c>
      <c r="K463" s="9">
        <f t="shared" si="274"/>
        <v>27593620200.473152</v>
      </c>
      <c r="L463" s="9">
        <f t="shared" si="274"/>
        <v>28535033265.697044</v>
      </c>
      <c r="M463" s="9">
        <f t="shared" si="274"/>
        <v>29538039684.986298</v>
      </c>
      <c r="N463" s="9">
        <f t="shared" ref="N463:Q464" si="275">+N$62/360*N459</f>
        <v>30576301779.913555</v>
      </c>
      <c r="O463" s="9">
        <f t="shared" si="275"/>
        <v>31651058787.477512</v>
      </c>
      <c r="P463" s="9">
        <f t="shared" si="275"/>
        <v>32763593503.857346</v>
      </c>
      <c r="Q463" s="9">
        <f t="shared" si="275"/>
        <v>32927411471.376633</v>
      </c>
    </row>
    <row r="464" spans="2:17" s="9" customFormat="1" hidden="1" outlineLevel="1" x14ac:dyDescent="0.25">
      <c r="B464" s="109" t="s">
        <v>1056</v>
      </c>
      <c r="C464" s="9" t="s">
        <v>11</v>
      </c>
      <c r="D464" s="9">
        <f t="shared" si="273"/>
        <v>0</v>
      </c>
      <c r="E464" s="9">
        <f t="shared" si="273"/>
        <v>961610946</v>
      </c>
      <c r="F464" s="9">
        <f t="shared" si="273"/>
        <v>3430105379</v>
      </c>
      <c r="G464" s="9">
        <f>+G$62/360*G460</f>
        <v>3774041455.7111454</v>
      </c>
      <c r="H464" s="9">
        <f t="shared" ref="H464:M464" si="276">+H$62/360*H460</f>
        <v>4067707322.5659776</v>
      </c>
      <c r="I464" s="9">
        <f t="shared" si="276"/>
        <v>4370325912.9727144</v>
      </c>
      <c r="J464" s="9">
        <f t="shared" si="276"/>
        <v>4522132539.1073513</v>
      </c>
      <c r="K464" s="9">
        <f t="shared" si="276"/>
        <v>4690915434.0804358</v>
      </c>
      <c r="L464" s="9">
        <f t="shared" si="276"/>
        <v>4850955655.168498</v>
      </c>
      <c r="M464" s="9">
        <f t="shared" si="276"/>
        <v>5021466746.44767</v>
      </c>
      <c r="N464" s="9">
        <f t="shared" si="275"/>
        <v>5197971302.5853043</v>
      </c>
      <c r="O464" s="9">
        <f t="shared" si="275"/>
        <v>5380679993.8711767</v>
      </c>
      <c r="P464" s="9">
        <f t="shared" si="275"/>
        <v>5569810895.6557484</v>
      </c>
      <c r="Q464" s="9">
        <f t="shared" si="275"/>
        <v>5597659950.1340275</v>
      </c>
    </row>
    <row r="465" spans="2:17" s="9" customFormat="1" collapsed="1" x14ac:dyDescent="0.25"/>
    <row r="466" spans="2:17" s="16" customFormat="1" x14ac:dyDescent="0.25">
      <c r="B466" s="17" t="s">
        <v>1142</v>
      </c>
      <c r="C466" s="17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</row>
    <row r="467" spans="2:17" s="9" customFormat="1" hidden="1" outlineLevel="1" x14ac:dyDescent="0.25"/>
    <row r="468" spans="2:17" s="9" customFormat="1" hidden="1" outlineLevel="1" x14ac:dyDescent="0.25">
      <c r="B468" s="12" t="s">
        <v>1143</v>
      </c>
    </row>
    <row r="469" spans="2:17" s="9" customFormat="1" hidden="1" outlineLevel="1" x14ac:dyDescent="0.25">
      <c r="B469" s="108" t="s">
        <v>1052</v>
      </c>
      <c r="D469" s="9">
        <f t="shared" ref="D469:F470" si="277">+D27</f>
        <v>374245259</v>
      </c>
      <c r="E469" s="9">
        <f t="shared" si="277"/>
        <v>981987430</v>
      </c>
      <c r="F469" s="9">
        <f t="shared" si="277"/>
        <v>915936918</v>
      </c>
      <c r="G469" s="9">
        <f>+F469</f>
        <v>915936918</v>
      </c>
      <c r="H469" s="9">
        <f>+G469</f>
        <v>915936918</v>
      </c>
      <c r="I469" s="9">
        <f t="shared" ref="I469:Q469" si="278">+H469</f>
        <v>915936918</v>
      </c>
      <c r="J469" s="9">
        <f t="shared" si="278"/>
        <v>915936918</v>
      </c>
      <c r="K469" s="9">
        <f t="shared" si="278"/>
        <v>915936918</v>
      </c>
      <c r="L469" s="9">
        <f t="shared" si="278"/>
        <v>915936918</v>
      </c>
      <c r="M469" s="9">
        <f t="shared" si="278"/>
        <v>915936918</v>
      </c>
      <c r="N469" s="9">
        <f t="shared" si="278"/>
        <v>915936918</v>
      </c>
      <c r="O469" s="9">
        <f t="shared" si="278"/>
        <v>915936918</v>
      </c>
      <c r="P469" s="9">
        <f t="shared" si="278"/>
        <v>915936918</v>
      </c>
      <c r="Q469" s="9">
        <f t="shared" si="278"/>
        <v>915936918</v>
      </c>
    </row>
    <row r="470" spans="2:17" s="9" customFormat="1" hidden="1" outlineLevel="1" x14ac:dyDescent="0.25">
      <c r="B470" s="108" t="s">
        <v>1152</v>
      </c>
      <c r="D470" s="9">
        <f t="shared" si="277"/>
        <v>-187588065</v>
      </c>
      <c r="E470" s="9">
        <f t="shared" si="277"/>
        <v>-232274851</v>
      </c>
      <c r="F470" s="9">
        <f t="shared" si="277"/>
        <v>-104643142</v>
      </c>
      <c r="G470" s="9">
        <f>+F470-G471</f>
        <v>-254643142</v>
      </c>
      <c r="H470" s="9">
        <f>+G470-H471</f>
        <v>-404643142</v>
      </c>
      <c r="I470" s="9">
        <f>+H470-I471</f>
        <v>-554643142</v>
      </c>
      <c r="J470" s="9">
        <f>+I470-J471</f>
        <v>-704643142</v>
      </c>
      <c r="K470" s="9">
        <f>+J470-K471</f>
        <v>-854643142</v>
      </c>
      <c r="L470" s="9">
        <f>-L469</f>
        <v>-915936918</v>
      </c>
      <c r="M470" s="9">
        <f>+L470</f>
        <v>-915936918</v>
      </c>
      <c r="N470" s="9">
        <f>+M470</f>
        <v>-915936918</v>
      </c>
      <c r="O470" s="9">
        <f>+N470</f>
        <v>-915936918</v>
      </c>
      <c r="P470" s="9">
        <f>+O470</f>
        <v>-915936918</v>
      </c>
      <c r="Q470" s="9">
        <f>+P470</f>
        <v>-915936918</v>
      </c>
    </row>
    <row r="471" spans="2:17" s="9" customFormat="1" hidden="1" outlineLevel="1" x14ac:dyDescent="0.25">
      <c r="B471" s="108" t="s">
        <v>1145</v>
      </c>
      <c r="G471" s="13">
        <v>150000000</v>
      </c>
      <c r="H471" s="13">
        <v>150000000</v>
      </c>
      <c r="I471" s="13">
        <v>150000000</v>
      </c>
      <c r="J471" s="13">
        <v>150000000</v>
      </c>
      <c r="K471" s="13">
        <v>150000000</v>
      </c>
      <c r="L471" s="9">
        <f>+K470-L470</f>
        <v>61293776</v>
      </c>
    </row>
    <row r="472" spans="2:17" s="9" customFormat="1" hidden="1" outlineLevel="1" x14ac:dyDescent="0.25"/>
    <row r="473" spans="2:17" s="9" customFormat="1" hidden="1" outlineLevel="1" x14ac:dyDescent="0.25">
      <c r="B473" s="12" t="s">
        <v>1144</v>
      </c>
    </row>
    <row r="474" spans="2:17" s="9" customFormat="1" hidden="1" outlineLevel="1" x14ac:dyDescent="0.25">
      <c r="B474" s="108" t="s">
        <v>1052</v>
      </c>
      <c r="C474" s="9" t="s">
        <v>11</v>
      </c>
      <c r="G474" s="9">
        <f>+G475</f>
        <v>639367023.08518231</v>
      </c>
      <c r="H474" s="9">
        <f>+G474+H475</f>
        <v>1328484498.9081244</v>
      </c>
      <c r="I474" s="9">
        <f t="shared" ref="I474:Q474" si="279">+H474+I475</f>
        <v>2068869124.1646786</v>
      </c>
      <c r="J474" s="9">
        <f t="shared" si="279"/>
        <v>2834971577.8487477</v>
      </c>
      <c r="K474" s="9">
        <f t="shared" si="279"/>
        <v>3629667839.6223745</v>
      </c>
      <c r="L474" s="9">
        <f t="shared" si="279"/>
        <v>4451476797.6744499</v>
      </c>
      <c r="M474" s="9">
        <f t="shared" si="279"/>
        <v>5302172340.6020555</v>
      </c>
      <c r="N474" s="9">
        <f t="shared" si="279"/>
        <v>6182769831.8635654</v>
      </c>
      <c r="O474" s="9">
        <f t="shared" si="279"/>
        <v>7094320324.9429178</v>
      </c>
      <c r="P474" s="9">
        <f t="shared" si="279"/>
        <v>8037911817.8540096</v>
      </c>
      <c r="Q474" s="9">
        <f t="shared" si="279"/>
        <v>8986221268.2296562</v>
      </c>
    </row>
    <row r="475" spans="2:17" s="9" customFormat="1" hidden="1" outlineLevel="1" x14ac:dyDescent="0.25">
      <c r="B475" s="109" t="s">
        <v>1147</v>
      </c>
      <c r="C475" s="9" t="s">
        <v>11</v>
      </c>
      <c r="G475" s="9">
        <f t="shared" ref="G475:Q475" si="280">+G476*G62</f>
        <v>639367023.08518231</v>
      </c>
      <c r="H475" s="9">
        <f t="shared" si="280"/>
        <v>689117475.82294226</v>
      </c>
      <c r="I475" s="9">
        <f t="shared" si="280"/>
        <v>740384625.25655413</v>
      </c>
      <c r="J475" s="9">
        <f t="shared" si="280"/>
        <v>766102453.68406904</v>
      </c>
      <c r="K475" s="9">
        <f t="shared" si="280"/>
        <v>794696261.7736268</v>
      </c>
      <c r="L475" s="9">
        <f t="shared" si="280"/>
        <v>821808958.05207491</v>
      </c>
      <c r="M475" s="9">
        <f t="shared" si="280"/>
        <v>850695542.92760527</v>
      </c>
      <c r="N475" s="9">
        <f t="shared" si="280"/>
        <v>880597491.26151037</v>
      </c>
      <c r="O475" s="9">
        <f t="shared" si="280"/>
        <v>911550493.07935238</v>
      </c>
      <c r="P475" s="9">
        <f t="shared" si="280"/>
        <v>943591492.91109169</v>
      </c>
      <c r="Q475" s="9">
        <f t="shared" si="280"/>
        <v>948309450.37564707</v>
      </c>
    </row>
    <row r="476" spans="2:17" s="9" customFormat="1" hidden="1" outlineLevel="1" x14ac:dyDescent="0.25">
      <c r="B476" s="109" t="s">
        <v>1146</v>
      </c>
      <c r="C476" s="131" t="s">
        <v>1150</v>
      </c>
      <c r="G476" s="128">
        <v>4.0000000000000002E-4</v>
      </c>
      <c r="H476" s="129">
        <f>+G476</f>
        <v>4.0000000000000002E-4</v>
      </c>
      <c r="I476" s="129">
        <f t="shared" ref="I476:Q476" si="281">+H476</f>
        <v>4.0000000000000002E-4</v>
      </c>
      <c r="J476" s="129">
        <f t="shared" si="281"/>
        <v>4.0000000000000002E-4</v>
      </c>
      <c r="K476" s="129">
        <f t="shared" si="281"/>
        <v>4.0000000000000002E-4</v>
      </c>
      <c r="L476" s="129">
        <f t="shared" si="281"/>
        <v>4.0000000000000002E-4</v>
      </c>
      <c r="M476" s="129">
        <f t="shared" si="281"/>
        <v>4.0000000000000002E-4</v>
      </c>
      <c r="N476" s="129">
        <f t="shared" si="281"/>
        <v>4.0000000000000002E-4</v>
      </c>
      <c r="O476" s="129">
        <f t="shared" si="281"/>
        <v>4.0000000000000002E-4</v>
      </c>
      <c r="P476" s="129">
        <f t="shared" si="281"/>
        <v>4.0000000000000002E-4</v>
      </c>
      <c r="Q476" s="129">
        <f t="shared" si="281"/>
        <v>4.0000000000000002E-4</v>
      </c>
    </row>
    <row r="477" spans="2:17" s="9" customFormat="1" hidden="1" outlineLevel="1" x14ac:dyDescent="0.25">
      <c r="B477" s="108" t="s">
        <v>1145</v>
      </c>
      <c r="C477" s="9" t="s">
        <v>11</v>
      </c>
      <c r="G477" s="9">
        <f>SUM(G480:G490)</f>
        <v>127873404.61703646</v>
      </c>
      <c r="H477" s="9">
        <f t="shared" ref="H477:Q477" si="282">SUM(H480:H490)</f>
        <v>265696899.78162491</v>
      </c>
      <c r="I477" s="9">
        <f t="shared" si="282"/>
        <v>413773824.83293575</v>
      </c>
      <c r="J477" s="9">
        <f t="shared" si="282"/>
        <v>566994315.56974959</v>
      </c>
      <c r="K477" s="9">
        <f t="shared" si="282"/>
        <v>725933567.92447495</v>
      </c>
      <c r="L477" s="9">
        <f t="shared" si="282"/>
        <v>762421954.91785347</v>
      </c>
      <c r="M477" s="9">
        <f t="shared" si="282"/>
        <v>794737568.33878613</v>
      </c>
      <c r="N477" s="9">
        <f t="shared" si="282"/>
        <v>822780141.53977716</v>
      </c>
      <c r="O477" s="9">
        <f t="shared" si="282"/>
        <v>851869749.41883397</v>
      </c>
      <c r="P477" s="9">
        <f t="shared" si="282"/>
        <v>881648795.64632702</v>
      </c>
      <c r="Q477" s="9">
        <f t="shared" si="282"/>
        <v>906948894.11104143</v>
      </c>
    </row>
    <row r="478" spans="2:17" s="9" customFormat="1" hidden="1" outlineLevel="1" x14ac:dyDescent="0.25">
      <c r="B478" s="108" t="s">
        <v>1152</v>
      </c>
      <c r="C478" s="9" t="s">
        <v>11</v>
      </c>
      <c r="G478" s="9">
        <f>-G477</f>
        <v>-127873404.61703646</v>
      </c>
      <c r="H478" s="9">
        <f>+G478-H477</f>
        <v>-393570304.39866138</v>
      </c>
      <c r="I478" s="9">
        <f t="shared" ref="I478:Q478" si="283">+H478-I477</f>
        <v>-807344129.23159719</v>
      </c>
      <c r="J478" s="9">
        <f t="shared" si="283"/>
        <v>-1374338444.8013468</v>
      </c>
      <c r="K478" s="9">
        <f t="shared" si="283"/>
        <v>-2100272012.7258217</v>
      </c>
      <c r="L478" s="9">
        <f t="shared" si="283"/>
        <v>-2862693967.6436753</v>
      </c>
      <c r="M478" s="9">
        <f t="shared" si="283"/>
        <v>-3657431535.9824615</v>
      </c>
      <c r="N478" s="9">
        <f t="shared" si="283"/>
        <v>-4480211677.5222387</v>
      </c>
      <c r="O478" s="9">
        <f t="shared" si="283"/>
        <v>-5332081426.9410725</v>
      </c>
      <c r="P478" s="9">
        <f t="shared" si="283"/>
        <v>-6213730222.5873995</v>
      </c>
      <c r="Q478" s="9">
        <f t="shared" si="283"/>
        <v>-7120679116.6984406</v>
      </c>
    </row>
    <row r="479" spans="2:17" s="9" customFormat="1" hidden="1" outlineLevel="1" x14ac:dyDescent="0.25">
      <c r="B479" s="108" t="s">
        <v>1148</v>
      </c>
      <c r="C479" s="9" t="s">
        <v>1149</v>
      </c>
      <c r="G479" s="5">
        <v>5</v>
      </c>
      <c r="H479" s="1">
        <f>+G479</f>
        <v>5</v>
      </c>
      <c r="I479" s="1">
        <f t="shared" ref="I479:Q479" si="284">+H479</f>
        <v>5</v>
      </c>
      <c r="J479" s="1">
        <f t="shared" si="284"/>
        <v>5</v>
      </c>
      <c r="K479" s="1">
        <f t="shared" si="284"/>
        <v>5</v>
      </c>
      <c r="L479" s="1">
        <f t="shared" si="284"/>
        <v>5</v>
      </c>
      <c r="M479" s="1">
        <f t="shared" si="284"/>
        <v>5</v>
      </c>
      <c r="N479" s="1">
        <f t="shared" si="284"/>
        <v>5</v>
      </c>
      <c r="O479" s="1">
        <f t="shared" si="284"/>
        <v>5</v>
      </c>
      <c r="P479" s="1">
        <f t="shared" si="284"/>
        <v>5</v>
      </c>
      <c r="Q479" s="1">
        <f t="shared" si="284"/>
        <v>5</v>
      </c>
    </row>
    <row r="480" spans="2:17" s="9" customFormat="1" hidden="1" outlineLevel="1" x14ac:dyDescent="0.25">
      <c r="B480" s="130" t="s">
        <v>1102</v>
      </c>
      <c r="C480" s="9" t="s">
        <v>11</v>
      </c>
      <c r="G480" s="9">
        <f>+G$475/G$479</f>
        <v>127873404.61703646</v>
      </c>
      <c r="H480" s="9">
        <f>+G480</f>
        <v>127873404.61703646</v>
      </c>
      <c r="I480" s="9">
        <f t="shared" ref="I480:M482" si="285">+H480</f>
        <v>127873404.61703646</v>
      </c>
      <c r="J480" s="9">
        <f t="shared" si="285"/>
        <v>127873404.61703646</v>
      </c>
      <c r="K480" s="9">
        <f t="shared" si="285"/>
        <v>127873404.61703646</v>
      </c>
    </row>
    <row r="481" spans="2:17" s="9" customFormat="1" hidden="1" outlineLevel="1" x14ac:dyDescent="0.25">
      <c r="B481" s="130" t="s">
        <v>1103</v>
      </c>
      <c r="C481" s="9" t="s">
        <v>11</v>
      </c>
      <c r="H481" s="9">
        <f>+H$475/H$479</f>
        <v>137823495.16458845</v>
      </c>
      <c r="I481" s="9">
        <f t="shared" si="285"/>
        <v>137823495.16458845</v>
      </c>
      <c r="J481" s="9">
        <f t="shared" si="285"/>
        <v>137823495.16458845</v>
      </c>
      <c r="K481" s="9">
        <f t="shared" si="285"/>
        <v>137823495.16458845</v>
      </c>
      <c r="L481" s="9">
        <f t="shared" si="285"/>
        <v>137823495.16458845</v>
      </c>
    </row>
    <row r="482" spans="2:17" s="9" customFormat="1" hidden="1" outlineLevel="1" x14ac:dyDescent="0.25">
      <c r="B482" s="130" t="s">
        <v>1104</v>
      </c>
      <c r="C482" s="9" t="s">
        <v>11</v>
      </c>
      <c r="I482" s="9">
        <f>+I$475/I$479</f>
        <v>148076925.05131084</v>
      </c>
      <c r="J482" s="9">
        <f t="shared" si="285"/>
        <v>148076925.05131084</v>
      </c>
      <c r="K482" s="9">
        <f t="shared" si="285"/>
        <v>148076925.05131084</v>
      </c>
      <c r="L482" s="9">
        <f t="shared" si="285"/>
        <v>148076925.05131084</v>
      </c>
      <c r="M482" s="9">
        <f t="shared" si="285"/>
        <v>148076925.05131084</v>
      </c>
    </row>
    <row r="483" spans="2:17" s="9" customFormat="1" hidden="1" outlineLevel="1" x14ac:dyDescent="0.25">
      <c r="B483" s="130" t="s">
        <v>1105</v>
      </c>
      <c r="C483" s="9" t="s">
        <v>11</v>
      </c>
      <c r="J483" s="9">
        <f>+J$475/J$479</f>
        <v>153220490.73681381</v>
      </c>
      <c r="K483" s="9">
        <f>+J483</f>
        <v>153220490.73681381</v>
      </c>
      <c r="L483" s="9">
        <f>+K483</f>
        <v>153220490.73681381</v>
      </c>
      <c r="M483" s="9">
        <f>+L483</f>
        <v>153220490.73681381</v>
      </c>
      <c r="N483" s="9">
        <f>+M483</f>
        <v>153220490.73681381</v>
      </c>
    </row>
    <row r="484" spans="2:17" s="9" customFormat="1" hidden="1" outlineLevel="1" x14ac:dyDescent="0.25">
      <c r="B484" s="130" t="s">
        <v>1106</v>
      </c>
      <c r="C484" s="9" t="s">
        <v>11</v>
      </c>
      <c r="K484" s="9">
        <f>+K$475/K$479</f>
        <v>158939252.35472536</v>
      </c>
      <c r="L484" s="9">
        <f>+K484</f>
        <v>158939252.35472536</v>
      </c>
      <c r="M484" s="9">
        <f>+L484</f>
        <v>158939252.35472536</v>
      </c>
      <c r="N484" s="9">
        <f>+M484</f>
        <v>158939252.35472536</v>
      </c>
      <c r="O484" s="9">
        <f>+N484</f>
        <v>158939252.35472536</v>
      </c>
    </row>
    <row r="485" spans="2:17" s="9" customFormat="1" hidden="1" outlineLevel="1" x14ac:dyDescent="0.25">
      <c r="B485" s="130" t="s">
        <v>1107</v>
      </c>
      <c r="C485" s="9" t="s">
        <v>11</v>
      </c>
      <c r="L485" s="9">
        <f>+L$475/L$479</f>
        <v>164361791.61041498</v>
      </c>
      <c r="M485" s="9">
        <f>+L485</f>
        <v>164361791.61041498</v>
      </c>
      <c r="N485" s="9">
        <f>+M485</f>
        <v>164361791.61041498</v>
      </c>
      <c r="O485" s="9">
        <f>+N485</f>
        <v>164361791.61041498</v>
      </c>
      <c r="P485" s="9">
        <f>+O485</f>
        <v>164361791.61041498</v>
      </c>
    </row>
    <row r="486" spans="2:17" s="9" customFormat="1" hidden="1" outlineLevel="1" x14ac:dyDescent="0.25">
      <c r="B486" s="130" t="s">
        <v>1108</v>
      </c>
      <c r="C486" s="9" t="s">
        <v>11</v>
      </c>
      <c r="M486" s="9">
        <f>+M$475/M$479</f>
        <v>170139108.58552104</v>
      </c>
      <c r="N486" s="9">
        <f>+M486</f>
        <v>170139108.58552104</v>
      </c>
      <c r="O486" s="9">
        <f>+N486</f>
        <v>170139108.58552104</v>
      </c>
      <c r="P486" s="9">
        <f>+O486</f>
        <v>170139108.58552104</v>
      </c>
      <c r="Q486" s="9">
        <f>+P486</f>
        <v>170139108.58552104</v>
      </c>
    </row>
    <row r="487" spans="2:17" s="9" customFormat="1" hidden="1" outlineLevel="1" x14ac:dyDescent="0.25">
      <c r="B487" s="130" t="s">
        <v>1346</v>
      </c>
      <c r="C487" s="9" t="s">
        <v>11</v>
      </c>
      <c r="N487" s="9">
        <f>+N$475/N$479</f>
        <v>176119498.25230208</v>
      </c>
      <c r="O487" s="9">
        <f>+N487</f>
        <v>176119498.25230208</v>
      </c>
      <c r="P487" s="9">
        <f>+O487</f>
        <v>176119498.25230208</v>
      </c>
      <c r="Q487" s="9">
        <f>+P487</f>
        <v>176119498.25230208</v>
      </c>
    </row>
    <row r="488" spans="2:17" s="9" customFormat="1" hidden="1" outlineLevel="1" x14ac:dyDescent="0.25">
      <c r="B488" s="130" t="s">
        <v>1347</v>
      </c>
      <c r="C488" s="9" t="s">
        <v>11</v>
      </c>
      <c r="O488" s="9">
        <f>+O$475/O$479</f>
        <v>182310098.61587048</v>
      </c>
      <c r="P488" s="9">
        <f>+O488</f>
        <v>182310098.61587048</v>
      </c>
      <c r="Q488" s="9">
        <f>+P488</f>
        <v>182310098.61587048</v>
      </c>
    </row>
    <row r="489" spans="2:17" s="9" customFormat="1" hidden="1" outlineLevel="1" x14ac:dyDescent="0.25">
      <c r="B489" s="130" t="s">
        <v>1348</v>
      </c>
      <c r="C489" s="9" t="s">
        <v>11</v>
      </c>
      <c r="P489" s="9">
        <f>+P$475/P$479</f>
        <v>188718298.58221835</v>
      </c>
      <c r="Q489" s="9">
        <f>+P489</f>
        <v>188718298.58221835</v>
      </c>
    </row>
    <row r="490" spans="2:17" s="9" customFormat="1" hidden="1" outlineLevel="1" x14ac:dyDescent="0.25">
      <c r="B490" s="130" t="s">
        <v>1349</v>
      </c>
      <c r="C490" s="9" t="s">
        <v>11</v>
      </c>
      <c r="Q490" s="9">
        <f>+Q$475/Q$479</f>
        <v>189661890.07512942</v>
      </c>
    </row>
    <row r="491" spans="2:17" s="9" customFormat="1" hidden="1" outlineLevel="1" x14ac:dyDescent="0.25">
      <c r="B491" s="130"/>
    </row>
    <row r="492" spans="2:17" s="9" customFormat="1" hidden="1" outlineLevel="1" x14ac:dyDescent="0.25">
      <c r="B492" s="12" t="s">
        <v>1151</v>
      </c>
    </row>
    <row r="493" spans="2:17" s="9" customFormat="1" hidden="1" outlineLevel="1" x14ac:dyDescent="0.25">
      <c r="B493" s="108" t="s">
        <v>1052</v>
      </c>
      <c r="C493" s="9" t="s">
        <v>11</v>
      </c>
      <c r="D493" s="9">
        <f t="shared" ref="D493:Q493" si="286">+D469+D474</f>
        <v>374245259</v>
      </c>
      <c r="E493" s="9">
        <f t="shared" si="286"/>
        <v>981987430</v>
      </c>
      <c r="F493" s="9">
        <f t="shared" si="286"/>
        <v>915936918</v>
      </c>
      <c r="G493" s="9">
        <f t="shared" si="286"/>
        <v>1555303941.0851822</v>
      </c>
      <c r="H493" s="9">
        <f t="shared" si="286"/>
        <v>2244421416.9081244</v>
      </c>
      <c r="I493" s="9">
        <f t="shared" si="286"/>
        <v>2984806042.1646786</v>
      </c>
      <c r="J493" s="9">
        <f t="shared" si="286"/>
        <v>3750908495.8487477</v>
      </c>
      <c r="K493" s="9">
        <f t="shared" si="286"/>
        <v>4545604757.6223745</v>
      </c>
      <c r="L493" s="9">
        <f t="shared" si="286"/>
        <v>5367413715.6744499</v>
      </c>
      <c r="M493" s="9">
        <f t="shared" si="286"/>
        <v>6218109258.6020555</v>
      </c>
      <c r="N493" s="9">
        <f t="shared" si="286"/>
        <v>7098706749.8635654</v>
      </c>
      <c r="O493" s="9">
        <f t="shared" si="286"/>
        <v>8010257242.9429178</v>
      </c>
      <c r="P493" s="9">
        <f t="shared" si="286"/>
        <v>8953848735.8540096</v>
      </c>
      <c r="Q493" s="9">
        <f t="shared" si="286"/>
        <v>9902158186.2296562</v>
      </c>
    </row>
    <row r="494" spans="2:17" s="9" customFormat="1" hidden="1" outlineLevel="1" x14ac:dyDescent="0.25">
      <c r="B494" s="108" t="s">
        <v>1152</v>
      </c>
      <c r="C494" s="9" t="s">
        <v>11</v>
      </c>
      <c r="D494" s="9">
        <f t="shared" ref="D494:Q494" si="287">+D470+D478</f>
        <v>-187588065</v>
      </c>
      <c r="E494" s="9">
        <f t="shared" si="287"/>
        <v>-232274851</v>
      </c>
      <c r="F494" s="9">
        <f t="shared" si="287"/>
        <v>-104643142</v>
      </c>
      <c r="G494" s="9">
        <f t="shared" si="287"/>
        <v>-382516546.61703646</v>
      </c>
      <c r="H494" s="9">
        <f t="shared" si="287"/>
        <v>-798213446.39866138</v>
      </c>
      <c r="I494" s="9">
        <f t="shared" si="287"/>
        <v>-1361987271.2315972</v>
      </c>
      <c r="J494" s="9">
        <f t="shared" si="287"/>
        <v>-2078981586.8013468</v>
      </c>
      <c r="K494" s="9">
        <f t="shared" si="287"/>
        <v>-2954915154.7258215</v>
      </c>
      <c r="L494" s="9">
        <f t="shared" si="287"/>
        <v>-3778630885.6436753</v>
      </c>
      <c r="M494" s="9">
        <f t="shared" si="287"/>
        <v>-4573368453.9824619</v>
      </c>
      <c r="N494" s="9">
        <f t="shared" si="287"/>
        <v>-5396148595.5222387</v>
      </c>
      <c r="O494" s="9">
        <f t="shared" si="287"/>
        <v>-6248018344.9410725</v>
      </c>
      <c r="P494" s="9">
        <f t="shared" si="287"/>
        <v>-7129667140.5873995</v>
      </c>
      <c r="Q494" s="9">
        <f t="shared" si="287"/>
        <v>-8036616034.6984406</v>
      </c>
    </row>
    <row r="495" spans="2:17" s="9" customFormat="1" hidden="1" outlineLevel="1" x14ac:dyDescent="0.25">
      <c r="B495" s="108" t="s">
        <v>1145</v>
      </c>
      <c r="C495" s="9" t="s">
        <v>11</v>
      </c>
      <c r="G495" s="9">
        <f t="shared" ref="G495:Q495" si="288">+G471+G477</f>
        <v>277873404.61703646</v>
      </c>
      <c r="H495" s="9">
        <f t="shared" si="288"/>
        <v>415696899.78162491</v>
      </c>
      <c r="I495" s="9">
        <f t="shared" si="288"/>
        <v>563773824.83293581</v>
      </c>
      <c r="J495" s="9">
        <f t="shared" si="288"/>
        <v>716994315.56974959</v>
      </c>
      <c r="K495" s="9">
        <f t="shared" si="288"/>
        <v>875933567.92447495</v>
      </c>
      <c r="L495" s="9">
        <f t="shared" si="288"/>
        <v>823715730.91785347</v>
      </c>
      <c r="M495" s="9">
        <f t="shared" si="288"/>
        <v>794737568.33878613</v>
      </c>
      <c r="N495" s="9">
        <f t="shared" si="288"/>
        <v>822780141.53977716</v>
      </c>
      <c r="O495" s="9">
        <f t="shared" si="288"/>
        <v>851869749.41883397</v>
      </c>
      <c r="P495" s="9">
        <f t="shared" si="288"/>
        <v>881648795.64632702</v>
      </c>
      <c r="Q495" s="9">
        <f t="shared" si="288"/>
        <v>906948894.11104143</v>
      </c>
    </row>
    <row r="496" spans="2:17" s="9" customFormat="1" collapsed="1" x14ac:dyDescent="0.25"/>
    <row r="497" spans="2:17" s="16" customFormat="1" x14ac:dyDescent="0.25">
      <c r="B497" s="17" t="s">
        <v>1158</v>
      </c>
      <c r="C497" s="17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</row>
    <row r="498" spans="2:17" s="9" customFormat="1" hidden="1" outlineLevel="1" x14ac:dyDescent="0.25"/>
    <row r="499" spans="2:17" s="9" customFormat="1" hidden="1" outlineLevel="1" x14ac:dyDescent="0.25">
      <c r="B499" s="110" t="s">
        <v>608</v>
      </c>
    </row>
    <row r="500" spans="2:17" s="9" customFormat="1" hidden="1" outlineLevel="1" x14ac:dyDescent="0.25">
      <c r="B500" s="109" t="s">
        <v>1094</v>
      </c>
      <c r="C500" s="9" t="s">
        <v>11</v>
      </c>
      <c r="D500" s="9">
        <f>+D109</f>
        <v>34011218</v>
      </c>
      <c r="E500" s="9">
        <f>+E109</f>
        <v>80830697</v>
      </c>
      <c r="F500" s="9">
        <f>+F109</f>
        <v>52988168</v>
      </c>
      <c r="G500" s="13">
        <v>75000000</v>
      </c>
      <c r="H500" s="9">
        <f>+G500*(1+H$273)</f>
        <v>77625000</v>
      </c>
      <c r="I500" s="9">
        <f t="shared" ref="I500:Q501" si="289">+H500*(1+I$273)</f>
        <v>81785700</v>
      </c>
      <c r="J500" s="9">
        <f t="shared" si="289"/>
        <v>85057128</v>
      </c>
      <c r="K500" s="9">
        <f t="shared" si="289"/>
        <v>87608841.840000004</v>
      </c>
      <c r="L500" s="9">
        <f t="shared" si="289"/>
        <v>90237107.095200002</v>
      </c>
      <c r="M500" s="9">
        <f t="shared" si="289"/>
        <v>92944220.308056012</v>
      </c>
      <c r="N500" s="9">
        <f t="shared" si="289"/>
        <v>95732546.917297691</v>
      </c>
      <c r="O500" s="9">
        <f t="shared" si="289"/>
        <v>98604523.324816629</v>
      </c>
      <c r="P500" s="9">
        <f t="shared" si="289"/>
        <v>101562659.02456114</v>
      </c>
      <c r="Q500" s="9">
        <f t="shared" si="289"/>
        <v>104609538.79529798</v>
      </c>
    </row>
    <row r="501" spans="2:17" s="9" customFormat="1" hidden="1" outlineLevel="1" x14ac:dyDescent="0.25">
      <c r="B501" s="109" t="s">
        <v>608</v>
      </c>
      <c r="C501" s="9" t="s">
        <v>11</v>
      </c>
      <c r="D501" s="9">
        <f>+D112</f>
        <v>1422436</v>
      </c>
      <c r="E501" s="9">
        <f>+E112</f>
        <v>85187575</v>
      </c>
      <c r="F501" s="9">
        <f>+F112</f>
        <v>208082086</v>
      </c>
      <c r="G501" s="13">
        <v>3040000000</v>
      </c>
      <c r="H501" s="9">
        <v>11250000000</v>
      </c>
      <c r="I501" s="9">
        <v>41251000000</v>
      </c>
      <c r="J501" s="9">
        <f>+H501*(1+J$273)</f>
        <v>11700000000</v>
      </c>
      <c r="K501" s="9">
        <f t="shared" si="289"/>
        <v>12051000000</v>
      </c>
      <c r="L501" s="9">
        <f t="shared" si="289"/>
        <v>12412530000</v>
      </c>
      <c r="M501" s="9">
        <f t="shared" si="289"/>
        <v>12784905900</v>
      </c>
      <c r="N501" s="9">
        <f t="shared" si="289"/>
        <v>13168453077</v>
      </c>
      <c r="O501" s="9">
        <f t="shared" si="289"/>
        <v>13563506669.309999</v>
      </c>
      <c r="P501" s="9">
        <f t="shared" si="289"/>
        <v>13970411869.389299</v>
      </c>
      <c r="Q501" s="9">
        <f t="shared" si="289"/>
        <v>14389524225.47098</v>
      </c>
    </row>
    <row r="502" spans="2:17" s="9" customFormat="1" collapsed="1" x14ac:dyDescent="0.25">
      <c r="B502"/>
    </row>
    <row r="503" spans="2:17" s="16" customFormat="1" x14ac:dyDescent="0.25">
      <c r="B503" s="17" t="s">
        <v>1153</v>
      </c>
      <c r="C503" s="17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</row>
    <row r="504" spans="2:17" s="9" customFormat="1" hidden="1" outlineLevel="1" x14ac:dyDescent="0.25"/>
    <row r="505" spans="2:17" s="9" customFormat="1" hidden="1" outlineLevel="1" x14ac:dyDescent="0.25">
      <c r="B505" s="9" t="s">
        <v>1154</v>
      </c>
      <c r="C505" s="9" t="s">
        <v>11</v>
      </c>
    </row>
    <row r="506" spans="2:17" s="9" customFormat="1" hidden="1" outlineLevel="1" x14ac:dyDescent="0.25">
      <c r="B506" s="130" t="s">
        <v>1156</v>
      </c>
      <c r="C506" s="9" t="s">
        <v>11</v>
      </c>
      <c r="G506" s="9">
        <f t="shared" ref="G506:Q506" si="290">AVERAGE(F43:G43)</f>
        <v>11000000000</v>
      </c>
      <c r="H506" s="9">
        <f t="shared" si="290"/>
        <v>11000000000</v>
      </c>
      <c r="I506" s="9">
        <f t="shared" si="290"/>
        <v>11000000000</v>
      </c>
      <c r="J506" s="9">
        <f t="shared" si="290"/>
        <v>11000000000</v>
      </c>
      <c r="K506" s="9">
        <f t="shared" si="290"/>
        <v>11000000000</v>
      </c>
      <c r="L506" s="9">
        <f t="shared" si="290"/>
        <v>11000000000</v>
      </c>
      <c r="M506" s="9">
        <f t="shared" si="290"/>
        <v>11000000000</v>
      </c>
      <c r="N506" s="9">
        <f t="shared" si="290"/>
        <v>11000000000</v>
      </c>
      <c r="O506" s="9">
        <f t="shared" si="290"/>
        <v>11000000000</v>
      </c>
      <c r="P506" s="9">
        <f t="shared" si="290"/>
        <v>11000000000</v>
      </c>
      <c r="Q506" s="9">
        <f t="shared" si="290"/>
        <v>11000000000</v>
      </c>
    </row>
    <row r="507" spans="2:17" s="6" customFormat="1" hidden="1" outlineLevel="1" x14ac:dyDescent="0.25">
      <c r="B507" s="10" t="s">
        <v>1155</v>
      </c>
      <c r="G507" s="7">
        <v>0.12</v>
      </c>
      <c r="H507" s="6">
        <f>+G507</f>
        <v>0.12</v>
      </c>
      <c r="I507" s="6">
        <f t="shared" ref="I507:Q507" si="291">+H507</f>
        <v>0.12</v>
      </c>
      <c r="J507" s="6">
        <f t="shared" si="291"/>
        <v>0.12</v>
      </c>
      <c r="K507" s="6">
        <f t="shared" si="291"/>
        <v>0.12</v>
      </c>
      <c r="L507" s="6">
        <f t="shared" si="291"/>
        <v>0.12</v>
      </c>
      <c r="M507" s="6">
        <f t="shared" si="291"/>
        <v>0.12</v>
      </c>
      <c r="N507" s="6">
        <f t="shared" si="291"/>
        <v>0.12</v>
      </c>
      <c r="O507" s="6">
        <f t="shared" si="291"/>
        <v>0.12</v>
      </c>
      <c r="P507" s="6">
        <f t="shared" si="291"/>
        <v>0.12</v>
      </c>
      <c r="Q507" s="6">
        <f t="shared" si="291"/>
        <v>0.12</v>
      </c>
    </row>
    <row r="508" spans="2:17" s="9" customFormat="1" hidden="1" outlineLevel="1" x14ac:dyDescent="0.25">
      <c r="B508" s="130" t="s">
        <v>1154</v>
      </c>
      <c r="C508" s="9" t="s">
        <v>11</v>
      </c>
      <c r="G508" s="9">
        <f>+G507*G506</f>
        <v>1320000000</v>
      </c>
      <c r="H508" s="9">
        <f t="shared" ref="H508:M508" si="292">+H507*H506</f>
        <v>1320000000</v>
      </c>
      <c r="I508" s="9">
        <f t="shared" si="292"/>
        <v>1320000000</v>
      </c>
      <c r="J508" s="9">
        <f t="shared" si="292"/>
        <v>1320000000</v>
      </c>
      <c r="K508" s="9">
        <f t="shared" si="292"/>
        <v>1320000000</v>
      </c>
      <c r="L508" s="9">
        <f t="shared" si="292"/>
        <v>1320000000</v>
      </c>
      <c r="M508" s="9">
        <f t="shared" si="292"/>
        <v>1320000000</v>
      </c>
      <c r="N508" s="9">
        <f>+N507*N506</f>
        <v>1320000000</v>
      </c>
      <c r="O508" s="9">
        <f>+O507*O506</f>
        <v>1320000000</v>
      </c>
      <c r="P508" s="9">
        <f>+P507*P506</f>
        <v>1320000000</v>
      </c>
      <c r="Q508" s="9">
        <f>+Q507*Q506</f>
        <v>1320000000</v>
      </c>
    </row>
    <row r="509" spans="2:17" s="9" customFormat="1" hidden="1" outlineLevel="1" x14ac:dyDescent="0.25"/>
    <row r="510" spans="2:17" s="9" customFormat="1" hidden="1" outlineLevel="1" x14ac:dyDescent="0.25">
      <c r="B510" s="9" t="s">
        <v>1157</v>
      </c>
      <c r="C510" s="9" t="s">
        <v>11</v>
      </c>
      <c r="G510" s="9">
        <f>+G512</f>
        <v>5760000000</v>
      </c>
      <c r="H510" s="9">
        <f t="shared" ref="H510:Q510" si="293">+H512</f>
        <v>2520000000</v>
      </c>
      <c r="I510" s="9">
        <f t="shared" si="293"/>
        <v>0</v>
      </c>
      <c r="J510" s="9">
        <f t="shared" si="293"/>
        <v>0</v>
      </c>
      <c r="K510" s="9">
        <f t="shared" si="293"/>
        <v>0</v>
      </c>
      <c r="L510" s="9">
        <f t="shared" si="293"/>
        <v>0</v>
      </c>
      <c r="M510" s="9">
        <f t="shared" si="293"/>
        <v>0</v>
      </c>
      <c r="N510" s="9">
        <f t="shared" si="293"/>
        <v>0</v>
      </c>
      <c r="O510" s="9">
        <f t="shared" si="293"/>
        <v>0</v>
      </c>
      <c r="P510" s="9">
        <f t="shared" si="293"/>
        <v>0</v>
      </c>
      <c r="Q510" s="9">
        <f t="shared" si="293"/>
        <v>0</v>
      </c>
    </row>
    <row r="511" spans="2:17" s="9" customFormat="1" hidden="1" outlineLevel="1" x14ac:dyDescent="0.25"/>
    <row r="512" spans="2:17" s="9" customFormat="1" hidden="1" outlineLevel="1" x14ac:dyDescent="0.25">
      <c r="B512" s="9" t="s">
        <v>1510</v>
      </c>
      <c r="C512" s="9" t="s">
        <v>11</v>
      </c>
      <c r="G512" s="9">
        <f t="shared" ref="G512:N512" si="294">AVERAGE(G513,G515)*G516</f>
        <v>5760000000</v>
      </c>
      <c r="H512" s="9">
        <f t="shared" si="294"/>
        <v>2520000000</v>
      </c>
      <c r="I512" s="9">
        <f t="shared" si="294"/>
        <v>0</v>
      </c>
      <c r="J512" s="9">
        <f t="shared" si="294"/>
        <v>0</v>
      </c>
      <c r="K512" s="9">
        <f t="shared" si="294"/>
        <v>0</v>
      </c>
      <c r="L512" s="9">
        <f t="shared" si="294"/>
        <v>0</v>
      </c>
      <c r="M512" s="9">
        <f t="shared" si="294"/>
        <v>0</v>
      </c>
      <c r="N512" s="9">
        <f t="shared" si="294"/>
        <v>0</v>
      </c>
    </row>
    <row r="513" spans="2:24" s="9" customFormat="1" hidden="1" outlineLevel="1" x14ac:dyDescent="0.25">
      <c r="B513" s="9" t="s">
        <v>1403</v>
      </c>
      <c r="C513" s="9" t="s">
        <v>11</v>
      </c>
      <c r="G513" s="9">
        <v>54000000000</v>
      </c>
      <c r="H513" s="9">
        <f t="shared" ref="H513:N513" si="295">+G515</f>
        <v>42000000000</v>
      </c>
      <c r="I513" s="9">
        <f t="shared" si="295"/>
        <v>0</v>
      </c>
      <c r="J513" s="9">
        <f t="shared" si="295"/>
        <v>0</v>
      </c>
      <c r="K513" s="9">
        <f t="shared" si="295"/>
        <v>0</v>
      </c>
      <c r="L513" s="9">
        <f t="shared" si="295"/>
        <v>0</v>
      </c>
      <c r="M513" s="9">
        <f t="shared" si="295"/>
        <v>0</v>
      </c>
      <c r="N513" s="9">
        <f t="shared" si="295"/>
        <v>0</v>
      </c>
    </row>
    <row r="514" spans="2:24" s="9" customFormat="1" hidden="1" outlineLevel="1" x14ac:dyDescent="0.25">
      <c r="B514" s="9" t="s">
        <v>1511</v>
      </c>
      <c r="C514" s="9" t="s">
        <v>11</v>
      </c>
      <c r="G514" s="9">
        <v>12000000000</v>
      </c>
      <c r="H514" s="9">
        <v>42000000000</v>
      </c>
      <c r="I514" s="9">
        <v>0</v>
      </c>
      <c r="J514" s="9">
        <v>0</v>
      </c>
      <c r="K514" s="9">
        <v>0</v>
      </c>
      <c r="L514" s="9">
        <v>0</v>
      </c>
      <c r="M514" s="9">
        <v>0</v>
      </c>
      <c r="N514" s="9">
        <f>+M515</f>
        <v>0</v>
      </c>
    </row>
    <row r="515" spans="2:24" s="9" customFormat="1" hidden="1" outlineLevel="1" x14ac:dyDescent="0.25">
      <c r="B515" s="9" t="s">
        <v>1404</v>
      </c>
      <c r="C515" s="9" t="s">
        <v>11</v>
      </c>
      <c r="G515" s="9">
        <f t="shared" ref="G515:N515" si="296">+G513-G514</f>
        <v>42000000000</v>
      </c>
      <c r="H515" s="9">
        <f t="shared" si="296"/>
        <v>0</v>
      </c>
      <c r="I515" s="9">
        <f t="shared" si="296"/>
        <v>0</v>
      </c>
      <c r="J515" s="9">
        <f t="shared" si="296"/>
        <v>0</v>
      </c>
      <c r="K515" s="9">
        <f t="shared" si="296"/>
        <v>0</v>
      </c>
      <c r="L515" s="9">
        <f t="shared" si="296"/>
        <v>0</v>
      </c>
      <c r="M515" s="9">
        <f t="shared" si="296"/>
        <v>0</v>
      </c>
      <c r="N515" s="9">
        <f t="shared" si="296"/>
        <v>0</v>
      </c>
    </row>
    <row r="516" spans="2:24" s="9" customFormat="1" hidden="1" outlineLevel="1" x14ac:dyDescent="0.25">
      <c r="B516" s="9" t="s">
        <v>1512</v>
      </c>
      <c r="C516" s="9" t="s">
        <v>1473</v>
      </c>
      <c r="D516" s="7">
        <v>0.12</v>
      </c>
      <c r="E516" s="7"/>
      <c r="F516" s="7"/>
      <c r="G516" s="8">
        <f>+D516</f>
        <v>0.12</v>
      </c>
      <c r="H516" s="8">
        <f t="shared" ref="H516:P516" si="297">+G516</f>
        <v>0.12</v>
      </c>
      <c r="I516" s="8">
        <f t="shared" si="297"/>
        <v>0.12</v>
      </c>
      <c r="J516" s="8">
        <f t="shared" si="297"/>
        <v>0.12</v>
      </c>
      <c r="K516" s="8">
        <f t="shared" si="297"/>
        <v>0.12</v>
      </c>
      <c r="L516" s="8">
        <f t="shared" si="297"/>
        <v>0.12</v>
      </c>
      <c r="M516" s="8">
        <f t="shared" si="297"/>
        <v>0.12</v>
      </c>
      <c r="N516" s="8">
        <f t="shared" si="297"/>
        <v>0.12</v>
      </c>
      <c r="O516" s="8">
        <f t="shared" si="297"/>
        <v>0.12</v>
      </c>
      <c r="P516" s="8">
        <f t="shared" si="297"/>
        <v>0.12</v>
      </c>
    </row>
    <row r="517" spans="2:24" s="9" customFormat="1" collapsed="1" x14ac:dyDescent="0.25"/>
    <row r="518" spans="2:24" s="16" customFormat="1" x14ac:dyDescent="0.25">
      <c r="B518" s="17" t="s">
        <v>1709</v>
      </c>
      <c r="C518" s="17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</row>
    <row r="519" spans="2:24" s="9" customFormat="1" hidden="1" outlineLevel="1" x14ac:dyDescent="0.25"/>
    <row r="520" spans="2:24" s="9" customFormat="1" hidden="1" outlineLevel="1" x14ac:dyDescent="0.25">
      <c r="B520" s="9" t="s">
        <v>1403</v>
      </c>
      <c r="H520" s="103">
        <f>+'Panel de control'!D91</f>
        <v>0</v>
      </c>
      <c r="I520" s="9">
        <f>+H521</f>
        <v>0</v>
      </c>
      <c r="J520" s="9">
        <f t="shared" ref="J520:Q520" si="298">+I521</f>
        <v>0</v>
      </c>
      <c r="K520" s="9">
        <f t="shared" si="298"/>
        <v>0</v>
      </c>
      <c r="L520" s="9">
        <f t="shared" si="298"/>
        <v>0</v>
      </c>
      <c r="M520" s="9">
        <f t="shared" si="298"/>
        <v>0</v>
      </c>
      <c r="N520" s="9">
        <f t="shared" si="298"/>
        <v>0</v>
      </c>
      <c r="O520" s="9">
        <f t="shared" si="298"/>
        <v>0</v>
      </c>
      <c r="P520" s="9">
        <f t="shared" si="298"/>
        <v>0</v>
      </c>
      <c r="Q520" s="9">
        <f t="shared" si="298"/>
        <v>0</v>
      </c>
    </row>
    <row r="521" spans="2:24" s="9" customFormat="1" hidden="1" outlineLevel="1" x14ac:dyDescent="0.25">
      <c r="B521" s="9" t="s">
        <v>1404</v>
      </c>
      <c r="H521" s="9">
        <f>+H520-H527</f>
        <v>0</v>
      </c>
      <c r="I521" s="9">
        <f t="shared" ref="I521:Q521" si="299">+I520-I527</f>
        <v>0</v>
      </c>
      <c r="J521" s="9">
        <f t="shared" si="299"/>
        <v>0</v>
      </c>
      <c r="K521" s="9">
        <f t="shared" si="299"/>
        <v>0</v>
      </c>
      <c r="L521" s="9">
        <f t="shared" si="299"/>
        <v>0</v>
      </c>
      <c r="M521" s="9">
        <f t="shared" si="299"/>
        <v>0</v>
      </c>
      <c r="N521" s="9">
        <f t="shared" si="299"/>
        <v>0</v>
      </c>
      <c r="O521" s="9">
        <f t="shared" si="299"/>
        <v>0</v>
      </c>
      <c r="P521" s="9">
        <f t="shared" si="299"/>
        <v>0</v>
      </c>
      <c r="Q521" s="9">
        <f t="shared" si="299"/>
        <v>0</v>
      </c>
    </row>
    <row r="522" spans="2:24" s="9" customFormat="1" hidden="1" outlineLevel="1" x14ac:dyDescent="0.25">
      <c r="B522" s="9" t="s">
        <v>1409</v>
      </c>
      <c r="H522" s="5">
        <v>11</v>
      </c>
    </row>
    <row r="523" spans="2:24" s="9" customFormat="1" hidden="1" outlineLevel="1" x14ac:dyDescent="0.25">
      <c r="B523" s="9" t="s">
        <v>1405</v>
      </c>
      <c r="H523" s="7">
        <v>0.05</v>
      </c>
    </row>
    <row r="524" spans="2:24" s="9" customFormat="1" hidden="1" outlineLevel="1" x14ac:dyDescent="0.25"/>
    <row r="525" spans="2:24" s="9" customFormat="1" hidden="1" outlineLevel="1" x14ac:dyDescent="0.25">
      <c r="B525" s="9" t="s">
        <v>1406</v>
      </c>
      <c r="H525" s="5">
        <v>1</v>
      </c>
      <c r="I525" s="1">
        <f>+H525+1</f>
        <v>2</v>
      </c>
      <c r="J525" s="1">
        <f t="shared" ref="J525:Q525" si="300">+I525+1</f>
        <v>3</v>
      </c>
      <c r="K525" s="1">
        <f t="shared" si="300"/>
        <v>4</v>
      </c>
      <c r="L525" s="1">
        <f t="shared" si="300"/>
        <v>5</v>
      </c>
      <c r="M525" s="1">
        <f t="shared" si="300"/>
        <v>6</v>
      </c>
      <c r="N525" s="1">
        <f t="shared" si="300"/>
        <v>7</v>
      </c>
      <c r="O525" s="1">
        <f t="shared" si="300"/>
        <v>8</v>
      </c>
      <c r="P525" s="1">
        <f t="shared" si="300"/>
        <v>9</v>
      </c>
      <c r="Q525" s="1">
        <f t="shared" si="300"/>
        <v>10</v>
      </c>
      <c r="R525" s="1"/>
      <c r="S525" s="1"/>
      <c r="T525" s="1"/>
      <c r="U525" s="1"/>
      <c r="V525" s="1"/>
      <c r="W525" s="1"/>
      <c r="X525" s="1"/>
    </row>
    <row r="526" spans="2:24" s="9" customFormat="1" hidden="1" outlineLevel="1" x14ac:dyDescent="0.25">
      <c r="B526" s="9" t="s">
        <v>1407</v>
      </c>
      <c r="H526" s="9">
        <f t="shared" ref="H526:Q526" si="301">AVERAGE(H520:H521)*$H$523</f>
        <v>0</v>
      </c>
      <c r="I526" s="9">
        <f t="shared" si="301"/>
        <v>0</v>
      </c>
      <c r="J526" s="9">
        <f t="shared" si="301"/>
        <v>0</v>
      </c>
      <c r="K526" s="9">
        <f t="shared" si="301"/>
        <v>0</v>
      </c>
      <c r="L526" s="9">
        <f t="shared" si="301"/>
        <v>0</v>
      </c>
      <c r="M526" s="9">
        <f t="shared" si="301"/>
        <v>0</v>
      </c>
      <c r="N526" s="9">
        <f t="shared" si="301"/>
        <v>0</v>
      </c>
      <c r="O526" s="9">
        <f t="shared" si="301"/>
        <v>0</v>
      </c>
      <c r="P526" s="9">
        <f t="shared" si="301"/>
        <v>0</v>
      </c>
      <c r="Q526" s="9">
        <f t="shared" si="301"/>
        <v>0</v>
      </c>
    </row>
    <row r="527" spans="2:24" s="9" customFormat="1" hidden="1" outlineLevel="1" x14ac:dyDescent="0.25">
      <c r="B527" s="9" t="s">
        <v>1408</v>
      </c>
      <c r="H527" s="9">
        <f t="shared" ref="H527:Q527" si="302">+IF(H525&lt;=$H$522,$H$520/$H$522,0)</f>
        <v>0</v>
      </c>
      <c r="I527" s="9">
        <f t="shared" si="302"/>
        <v>0</v>
      </c>
      <c r="J527" s="9">
        <f t="shared" si="302"/>
        <v>0</v>
      </c>
      <c r="K527" s="9">
        <f t="shared" si="302"/>
        <v>0</v>
      </c>
      <c r="L527" s="9">
        <f t="shared" si="302"/>
        <v>0</v>
      </c>
      <c r="M527" s="9">
        <f t="shared" si="302"/>
        <v>0</v>
      </c>
      <c r="N527" s="9">
        <f t="shared" si="302"/>
        <v>0</v>
      </c>
      <c r="O527" s="9">
        <f t="shared" si="302"/>
        <v>0</v>
      </c>
      <c r="P527" s="9">
        <f t="shared" si="302"/>
        <v>0</v>
      </c>
      <c r="Q527" s="9">
        <f t="shared" si="302"/>
        <v>0</v>
      </c>
    </row>
    <row r="528" spans="2:24" s="9" customFormat="1" collapsed="1" x14ac:dyDescent="0.25"/>
    <row r="529" spans="2:17" s="16" customFormat="1" x14ac:dyDescent="0.25">
      <c r="B529" s="17" t="s">
        <v>1400</v>
      </c>
      <c r="C529" s="17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</row>
    <row r="530" spans="2:17" s="9" customFormat="1" hidden="1" outlineLevel="1" x14ac:dyDescent="0.25"/>
    <row r="531" spans="2:17" s="9" customFormat="1" hidden="1" outlineLevel="1" x14ac:dyDescent="0.25">
      <c r="B531" s="9" t="s">
        <v>1358</v>
      </c>
      <c r="C531" s="9" t="s">
        <v>11</v>
      </c>
      <c r="G531" s="280"/>
    </row>
    <row r="532" spans="2:17" s="9" customFormat="1" hidden="1" outlineLevel="1" x14ac:dyDescent="0.25">
      <c r="B532" s="9" t="s">
        <v>1169</v>
      </c>
      <c r="C532" s="9" t="s">
        <v>12</v>
      </c>
      <c r="G532" s="278">
        <f>+ACRE2delete!F23/ACRE2delete!B23</f>
        <v>0</v>
      </c>
    </row>
    <row r="533" spans="2:17" s="9" customFormat="1" hidden="1" outlineLevel="1" x14ac:dyDescent="0.25">
      <c r="B533" s="9" t="s">
        <v>1169</v>
      </c>
      <c r="C533" s="9" t="s">
        <v>11</v>
      </c>
      <c r="G533" s="9">
        <f>+G531*G532</f>
        <v>0</v>
      </c>
    </row>
    <row r="534" spans="2:17" s="9" customFormat="1" collapsed="1" x14ac:dyDescent="0.25"/>
    <row r="535" spans="2:17" s="16" customFormat="1" x14ac:dyDescent="0.25">
      <c r="B535" s="17" t="s">
        <v>1401</v>
      </c>
      <c r="C535" s="17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</row>
    <row r="536" spans="2:17" s="9" customFormat="1" x14ac:dyDescent="0.25"/>
    <row r="537" spans="2:17" s="9" customFormat="1" x14ac:dyDescent="0.25">
      <c r="B537" s="9" t="s">
        <v>1331</v>
      </c>
      <c r="C537" s="9" t="s">
        <v>11</v>
      </c>
      <c r="G537" s="280">
        <f>+'Panel de control'!D90</f>
        <v>0</v>
      </c>
    </row>
    <row r="538" spans="2:17" s="9" customFormat="1" x14ac:dyDescent="0.25"/>
    <row r="539" spans="2:17" s="9" customFormat="1" x14ac:dyDescent="0.25">
      <c r="B539" s="9" t="s">
        <v>1450</v>
      </c>
      <c r="C539" s="9" t="s">
        <v>1336</v>
      </c>
      <c r="F539" s="9">
        <f>+G539*F546</f>
        <v>124091866650.89082</v>
      </c>
      <c r="G539" s="5">
        <v>30000</v>
      </c>
    </row>
    <row r="540" spans="2:17" s="9" customFormat="1" x14ac:dyDescent="0.25">
      <c r="B540" s="9" t="s">
        <v>1451</v>
      </c>
      <c r="C540" s="9" t="s">
        <v>1336</v>
      </c>
      <c r="F540" s="9">
        <f>+G540*F546</f>
        <v>124091866650.89082</v>
      </c>
      <c r="G540" s="1">
        <v>30000</v>
      </c>
    </row>
    <row r="541" spans="2:17" s="9" customFormat="1" x14ac:dyDescent="0.25">
      <c r="B541" s="9" t="s">
        <v>1452</v>
      </c>
      <c r="C541" s="9" t="s">
        <v>1336</v>
      </c>
      <c r="F541" s="9">
        <f>+F545-F539-F540</f>
        <v>0</v>
      </c>
      <c r="G541" s="1">
        <v>30000</v>
      </c>
    </row>
    <row r="542" spans="2:17" s="9" customFormat="1" x14ac:dyDescent="0.25">
      <c r="B542" s="9" t="s">
        <v>1716</v>
      </c>
      <c r="C542" s="9" t="s">
        <v>1336</v>
      </c>
      <c r="G542" s="1">
        <v>18000</v>
      </c>
    </row>
    <row r="543" spans="2:17" s="9" customFormat="1" x14ac:dyDescent="0.25">
      <c r="B543" s="9" t="s">
        <v>1399</v>
      </c>
      <c r="C543" s="9" t="s">
        <v>1336</v>
      </c>
      <c r="G543" s="1">
        <f>64000*0</f>
        <v>0</v>
      </c>
    </row>
    <row r="544" spans="2:17" s="9" customFormat="1" x14ac:dyDescent="0.25">
      <c r="B544" s="9" t="s">
        <v>1717</v>
      </c>
      <c r="G544" s="1">
        <v>12000</v>
      </c>
    </row>
    <row r="545" spans="2:7" s="12" customFormat="1" x14ac:dyDescent="0.25">
      <c r="B545" s="12" t="s">
        <v>1341</v>
      </c>
      <c r="C545" s="12" t="s">
        <v>1336</v>
      </c>
      <c r="F545" s="12">
        <f>+F546*G545*50%</f>
        <v>248183733301.78165</v>
      </c>
      <c r="G545" s="2">
        <f>SUM(G539:G544)</f>
        <v>120000</v>
      </c>
    </row>
    <row r="546" spans="2:7" s="9" customFormat="1" x14ac:dyDescent="0.25">
      <c r="F546" s="9">
        <f>+'Panel de control'!E78</f>
        <v>4136395.555029694</v>
      </c>
    </row>
    <row r="547" spans="2:7" s="9" customFormat="1" x14ac:dyDescent="0.25">
      <c r="B547" s="9" t="s">
        <v>1450</v>
      </c>
      <c r="C547" s="9" t="s">
        <v>1342</v>
      </c>
      <c r="G547" s="6">
        <f t="shared" ref="G547:G553" si="303">+G539/$G$545</f>
        <v>0.25</v>
      </c>
    </row>
    <row r="548" spans="2:7" s="9" customFormat="1" x14ac:dyDescent="0.25">
      <c r="B548" s="9" t="s">
        <v>1451</v>
      </c>
      <c r="C548" s="9" t="s">
        <v>1342</v>
      </c>
      <c r="G548" s="6">
        <f t="shared" si="303"/>
        <v>0.25</v>
      </c>
    </row>
    <row r="549" spans="2:7" s="9" customFormat="1" x14ac:dyDescent="0.25">
      <c r="B549" s="9" t="s">
        <v>1452</v>
      </c>
      <c r="C549" s="9" t="s">
        <v>1342</v>
      </c>
      <c r="G549" s="6">
        <f t="shared" si="303"/>
        <v>0.25</v>
      </c>
    </row>
    <row r="550" spans="2:7" s="9" customFormat="1" x14ac:dyDescent="0.25">
      <c r="B550" s="9" t="s">
        <v>1718</v>
      </c>
      <c r="C550" s="9" t="s">
        <v>1342</v>
      </c>
      <c r="G550" s="6">
        <f t="shared" si="303"/>
        <v>0.15</v>
      </c>
    </row>
    <row r="551" spans="2:7" s="9" customFormat="1" x14ac:dyDescent="0.25">
      <c r="B551" s="9" t="s">
        <v>1399</v>
      </c>
      <c r="C551" s="9" t="s">
        <v>1342</v>
      </c>
      <c r="G551" s="6">
        <f t="shared" si="303"/>
        <v>0</v>
      </c>
    </row>
    <row r="552" spans="2:7" s="9" customFormat="1" x14ac:dyDescent="0.25">
      <c r="B552" s="9" t="s">
        <v>1717</v>
      </c>
      <c r="C552" s="9" t="s">
        <v>1342</v>
      </c>
      <c r="G552" s="6">
        <f t="shared" si="303"/>
        <v>0.1</v>
      </c>
    </row>
    <row r="553" spans="2:7" s="12" customFormat="1" x14ac:dyDescent="0.25">
      <c r="B553" s="12" t="s">
        <v>1341</v>
      </c>
      <c r="C553" s="12" t="s">
        <v>1342</v>
      </c>
      <c r="G553" s="102">
        <f t="shared" si="303"/>
        <v>1</v>
      </c>
    </row>
    <row r="554" spans="2:7" s="9" customFormat="1" x14ac:dyDescent="0.25"/>
    <row r="555" spans="2:7" s="9" customFormat="1" hidden="1" x14ac:dyDescent="0.25">
      <c r="B555" s="9" t="s">
        <v>1453</v>
      </c>
      <c r="C555" s="9" t="s">
        <v>1342</v>
      </c>
      <c r="G555" s="6">
        <f>+G547+G548+G550</f>
        <v>0.65</v>
      </c>
    </row>
    <row r="556" spans="2:7" s="9" customFormat="1" hidden="1" x14ac:dyDescent="0.25">
      <c r="B556" s="9" t="s">
        <v>1454</v>
      </c>
      <c r="C556" s="9" t="s">
        <v>1342</v>
      </c>
      <c r="G556" s="6">
        <f>+G549+G551</f>
        <v>0.25</v>
      </c>
    </row>
    <row r="557" spans="2:7" s="9" customFormat="1" hidden="1" x14ac:dyDescent="0.25">
      <c r="B557" s="12" t="s">
        <v>1341</v>
      </c>
      <c r="C557" s="12" t="s">
        <v>1342</v>
      </c>
      <c r="D557" s="12"/>
      <c r="E557" s="12"/>
      <c r="F557" s="12"/>
      <c r="G557" s="102">
        <f>+G556+G555</f>
        <v>0.9</v>
      </c>
    </row>
    <row r="558" spans="2:7" s="9" customFormat="1" hidden="1" x14ac:dyDescent="0.25">
      <c r="B558" s="12"/>
      <c r="C558" s="12"/>
      <c r="D558" s="12"/>
      <c r="E558" s="12"/>
      <c r="F558" s="12"/>
      <c r="G558" s="102"/>
    </row>
    <row r="559" spans="2:7" s="9" customFormat="1" hidden="1" x14ac:dyDescent="0.25">
      <c r="B559" s="9" t="s">
        <v>1453</v>
      </c>
      <c r="C559" s="9" t="s">
        <v>1342</v>
      </c>
      <c r="G559" s="6">
        <f>+G555</f>
        <v>0.65</v>
      </c>
    </row>
    <row r="560" spans="2:7" s="9" customFormat="1" hidden="1" x14ac:dyDescent="0.25">
      <c r="B560" s="9" t="s">
        <v>1592</v>
      </c>
      <c r="C560" s="9" t="s">
        <v>1342</v>
      </c>
      <c r="G560" s="6">
        <f>MAX(0,(1)-G559-G561)</f>
        <v>0</v>
      </c>
    </row>
    <row r="561" spans="2:17" s="9" customFormat="1" hidden="1" x14ac:dyDescent="0.25">
      <c r="B561" s="9" t="s">
        <v>1454</v>
      </c>
      <c r="C561" s="9" t="s">
        <v>1342</v>
      </c>
      <c r="G561" s="6">
        <v>0.49</v>
      </c>
    </row>
    <row r="562" spans="2:17" s="9" customFormat="1" hidden="1" x14ac:dyDescent="0.25">
      <c r="B562" s="12" t="s">
        <v>1341</v>
      </c>
      <c r="C562" s="12" t="s">
        <v>1342</v>
      </c>
      <c r="D562" s="12"/>
      <c r="E562" s="12"/>
      <c r="F562" s="12"/>
      <c r="G562" s="102">
        <f>+G561+G559</f>
        <v>1.1400000000000001</v>
      </c>
    </row>
    <row r="563" spans="2:17" s="9" customFormat="1" hidden="1" x14ac:dyDescent="0.25">
      <c r="B563" s="12"/>
      <c r="C563" s="12"/>
      <c r="D563" s="12"/>
      <c r="E563" s="12"/>
      <c r="F563" s="12"/>
      <c r="G563" s="102"/>
    </row>
    <row r="564" spans="2:17" s="9" customFormat="1" hidden="1" x14ac:dyDescent="0.25"/>
    <row r="565" spans="2:17" s="16" customFormat="1" x14ac:dyDescent="0.25">
      <c r="B565" s="17" t="s">
        <v>1418</v>
      </c>
      <c r="C565" s="17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</row>
    <row r="566" spans="2:17" s="9" customFormat="1" x14ac:dyDescent="0.25"/>
    <row r="567" spans="2:17" s="116" customFormat="1" x14ac:dyDescent="0.25">
      <c r="B567" s="116" t="s">
        <v>1428</v>
      </c>
      <c r="D567" s="116">
        <f t="shared" ref="D567:L567" si="304">+D569/D570</f>
        <v>1.891872652832655</v>
      </c>
      <c r="E567" s="116">
        <f t="shared" si="304"/>
        <v>2.2381005348022716</v>
      </c>
      <c r="F567" s="116">
        <f t="shared" si="304"/>
        <v>3.1568909931683922</v>
      </c>
      <c r="G567" s="116">
        <f t="shared" si="304"/>
        <v>2.9879994040652567</v>
      </c>
      <c r="H567" s="116">
        <f t="shared" si="304"/>
        <v>2.0938021319255276</v>
      </c>
      <c r="I567" s="116">
        <f t="shared" si="304"/>
        <v>2.0001681069111346</v>
      </c>
      <c r="J567" s="116">
        <f t="shared" si="304"/>
        <v>1.9047226678165541</v>
      </c>
      <c r="K567" s="116">
        <f t="shared" si="304"/>
        <v>1.7848000195442839</v>
      </c>
      <c r="L567" s="116">
        <f t="shared" si="304"/>
        <v>1.4386267832345934</v>
      </c>
      <c r="M567" s="116">
        <f>+M569/M570</f>
        <v>1.2990163232395462</v>
      </c>
      <c r="N567" s="116">
        <f>+N569/N570</f>
        <v>1.1877482290955266</v>
      </c>
      <c r="O567" s="116">
        <f>+O569/O570</f>
        <v>1.0906558059716589</v>
      </c>
      <c r="P567" s="116">
        <f>+P569/P570</f>
        <v>1.0101063168894768</v>
      </c>
      <c r="Q567" s="116">
        <f>+Q569/Q570</f>
        <v>0.94560420121315858</v>
      </c>
    </row>
    <row r="568" spans="2:17" s="116" customFormat="1" x14ac:dyDescent="0.25">
      <c r="B568" s="116" t="s">
        <v>1439</v>
      </c>
      <c r="D568" s="116">
        <v>1</v>
      </c>
      <c r="E568" s="116">
        <v>1</v>
      </c>
      <c r="F568" s="116">
        <v>1</v>
      </c>
      <c r="G568" s="116">
        <v>1</v>
      </c>
      <c r="H568" s="116">
        <v>1</v>
      </c>
      <c r="I568" s="116">
        <v>1</v>
      </c>
      <c r="J568" s="116">
        <v>1</v>
      </c>
      <c r="K568" s="116">
        <v>1</v>
      </c>
      <c r="L568" s="116">
        <v>1</v>
      </c>
      <c r="M568" s="116">
        <v>1</v>
      </c>
      <c r="N568" s="116">
        <v>1</v>
      </c>
      <c r="O568" s="116">
        <v>1</v>
      </c>
      <c r="P568" s="116">
        <v>1</v>
      </c>
      <c r="Q568" s="116">
        <v>1</v>
      </c>
    </row>
    <row r="569" spans="2:17" s="9" customFormat="1" x14ac:dyDescent="0.25">
      <c r="B569" s="130" t="s">
        <v>1430</v>
      </c>
      <c r="D569" s="9">
        <f t="shared" ref="D569:Q569" si="305">+D35</f>
        <v>359546196656</v>
      </c>
      <c r="E569" s="9">
        <f t="shared" si="305"/>
        <v>522189162208</v>
      </c>
      <c r="F569" s="9">
        <f t="shared" si="305"/>
        <v>983909878171.19678</v>
      </c>
      <c r="G569" s="9">
        <f t="shared" si="305"/>
        <v>1068288654619.7548</v>
      </c>
      <c r="H569" s="9">
        <f t="shared" si="305"/>
        <v>1123400414891.8254</v>
      </c>
      <c r="I569" s="9">
        <f t="shared" si="305"/>
        <v>1125790765719.4465</v>
      </c>
      <c r="J569" s="9">
        <f t="shared" si="305"/>
        <v>1200285043612.718</v>
      </c>
      <c r="K569" s="9">
        <f t="shared" si="305"/>
        <v>1195979361351.063</v>
      </c>
      <c r="L569" s="9">
        <f t="shared" si="305"/>
        <v>1187396960288.406</v>
      </c>
      <c r="M569" s="9">
        <f t="shared" si="305"/>
        <v>1179280306068.3289</v>
      </c>
      <c r="N569" s="9">
        <f t="shared" si="305"/>
        <v>1206786549330.0928</v>
      </c>
      <c r="O569" s="9">
        <f t="shared" si="305"/>
        <v>1242416007182.0955</v>
      </c>
      <c r="P569" s="9">
        <f t="shared" si="305"/>
        <v>1281409411819.6372</v>
      </c>
      <c r="Q569" s="9">
        <f t="shared" si="305"/>
        <v>1287731090209.6321</v>
      </c>
    </row>
    <row r="570" spans="2:17" s="9" customFormat="1" x14ac:dyDescent="0.25">
      <c r="B570" s="130" t="s">
        <v>1431</v>
      </c>
      <c r="D570" s="9">
        <f t="shared" ref="D570:Q570" si="306">+D10</f>
        <v>190047779441</v>
      </c>
      <c r="E570" s="9">
        <f t="shared" si="306"/>
        <v>233318009664</v>
      </c>
      <c r="F570" s="9">
        <f t="shared" si="306"/>
        <v>311670526572</v>
      </c>
      <c r="G570" s="9">
        <f t="shared" si="306"/>
        <v>357526394806.61145</v>
      </c>
      <c r="H570" s="9">
        <f t="shared" si="306"/>
        <v>536536092767.6153</v>
      </c>
      <c r="I570" s="9">
        <f t="shared" si="306"/>
        <v>562848073534.18335</v>
      </c>
      <c r="J570" s="9">
        <f t="shared" si="306"/>
        <v>630162628866.4082</v>
      </c>
      <c r="K570" s="9">
        <f t="shared" si="306"/>
        <v>670091521881.78174</v>
      </c>
      <c r="L570" s="9">
        <f t="shared" si="306"/>
        <v>825368312425.46118</v>
      </c>
      <c r="M570" s="9">
        <f t="shared" si="306"/>
        <v>907825625414.30261</v>
      </c>
      <c r="N570" s="9">
        <f t="shared" si="306"/>
        <v>1016028919065.671</v>
      </c>
      <c r="O570" s="9">
        <f t="shared" si="306"/>
        <v>1139145824355.8647</v>
      </c>
      <c r="P570" s="9">
        <f t="shared" si="306"/>
        <v>1268588652891.125</v>
      </c>
      <c r="Q570" s="9">
        <f t="shared" si="306"/>
        <v>1361807708296.498</v>
      </c>
    </row>
    <row r="571" spans="2:17" s="9" customFormat="1" x14ac:dyDescent="0.25"/>
    <row r="572" spans="2:17" s="9" customFormat="1" x14ac:dyDescent="0.25">
      <c r="B572" s="9" t="s">
        <v>1429</v>
      </c>
      <c r="D572" s="116">
        <f>+D574/D575</f>
        <v>0.36800224858284997</v>
      </c>
      <c r="E572" s="116">
        <f t="shared" ref="E572:Q572" si="307">+E574/E575</f>
        <v>0.33865962969097163</v>
      </c>
      <c r="F572" s="116">
        <f t="shared" si="307"/>
        <v>0.27331878553319477</v>
      </c>
      <c r="G572" s="116">
        <f t="shared" si="307"/>
        <v>0.29180992414060014</v>
      </c>
      <c r="H572" s="116">
        <f t="shared" si="307"/>
        <v>0.4362120697239994</v>
      </c>
      <c r="I572" s="116">
        <f t="shared" si="307"/>
        <v>0.45685266242183287</v>
      </c>
      <c r="J572" s="116">
        <f t="shared" si="307"/>
        <v>0.48391745348801168</v>
      </c>
      <c r="K572" s="116">
        <f t="shared" si="307"/>
        <v>0.51845991304343009</v>
      </c>
      <c r="L572" s="116">
        <f t="shared" si="307"/>
        <v>0.65330119561525291</v>
      </c>
      <c r="M572" s="116">
        <f t="shared" si="307"/>
        <v>0.72736771626153651</v>
      </c>
      <c r="N572" s="116">
        <f t="shared" si="307"/>
        <v>0.80005924833725239</v>
      </c>
      <c r="O572" s="116">
        <f t="shared" si="307"/>
        <v>0.87582087644328588</v>
      </c>
      <c r="P572" s="116">
        <f t="shared" si="307"/>
        <v>0.94975608309460946</v>
      </c>
      <c r="Q572" s="116">
        <f t="shared" si="307"/>
        <v>1.0178847407170721</v>
      </c>
    </row>
    <row r="573" spans="2:17" s="9" customFormat="1" x14ac:dyDescent="0.25">
      <c r="B573" s="9" t="s">
        <v>1439</v>
      </c>
      <c r="D573" s="116">
        <v>1</v>
      </c>
      <c r="E573" s="116">
        <v>1</v>
      </c>
      <c r="F573" s="116">
        <v>1</v>
      </c>
      <c r="G573" s="116">
        <v>1</v>
      </c>
      <c r="H573" s="116">
        <v>1</v>
      </c>
      <c r="I573" s="116">
        <v>1</v>
      </c>
      <c r="J573" s="116">
        <v>1</v>
      </c>
      <c r="K573" s="116">
        <v>1</v>
      </c>
      <c r="L573" s="116">
        <v>1</v>
      </c>
      <c r="M573" s="116">
        <v>1</v>
      </c>
      <c r="N573" s="116">
        <v>1</v>
      </c>
      <c r="O573" s="116">
        <v>1</v>
      </c>
      <c r="P573" s="116">
        <v>1</v>
      </c>
      <c r="Q573" s="116">
        <v>1</v>
      </c>
    </row>
    <row r="574" spans="2:17" s="9" customFormat="1" x14ac:dyDescent="0.25">
      <c r="B574" s="130" t="s">
        <v>1433</v>
      </c>
      <c r="D574" s="9">
        <f t="shared" ref="D574:Q574" si="308">+D16+D12</f>
        <v>123634005604</v>
      </c>
      <c r="E574" s="9">
        <f t="shared" si="308"/>
        <v>176844388302</v>
      </c>
      <c r="F574" s="9">
        <f t="shared" si="308"/>
        <v>265914546335</v>
      </c>
      <c r="G574" s="9">
        <f t="shared" si="308"/>
        <v>308527322099.3078</v>
      </c>
      <c r="H574" s="9">
        <f t="shared" si="308"/>
        <v>485242487341.79883</v>
      </c>
      <c r="I574" s="9">
        <f t="shared" si="308"/>
        <v>509295129362.20276</v>
      </c>
      <c r="J574" s="9">
        <f t="shared" si="308"/>
        <v>575515789776.44556</v>
      </c>
      <c r="K574" s="9">
        <f t="shared" si="308"/>
        <v>614364296644.33154</v>
      </c>
      <c r="L574" s="9">
        <f t="shared" si="308"/>
        <v>768541540674.56482</v>
      </c>
      <c r="M574" s="9">
        <f t="shared" si="308"/>
        <v>849769378178.24902</v>
      </c>
      <c r="N574" s="9">
        <f t="shared" si="308"/>
        <v>956700087828.83081</v>
      </c>
      <c r="O574" s="9">
        <f t="shared" si="308"/>
        <v>1078499846676.5143</v>
      </c>
      <c r="P574" s="9">
        <f t="shared" si="308"/>
        <v>1206579066896.3452</v>
      </c>
      <c r="Q574" s="9">
        <f t="shared" si="308"/>
        <v>1299565094723.4561</v>
      </c>
    </row>
    <row r="575" spans="2:17" s="9" customFormat="1" x14ac:dyDescent="0.25">
      <c r="B575" s="130" t="s">
        <v>1432</v>
      </c>
      <c r="D575" s="9">
        <f t="shared" ref="D575:Q575" si="309">+D37+D45+D46+D47+D48</f>
        <v>335959918941</v>
      </c>
      <c r="E575" s="9">
        <f t="shared" si="309"/>
        <v>522189162208</v>
      </c>
      <c r="F575" s="9">
        <f t="shared" si="309"/>
        <v>972909878171.19678</v>
      </c>
      <c r="G575" s="9">
        <f t="shared" si="309"/>
        <v>1057288654619.7548</v>
      </c>
      <c r="H575" s="9">
        <f t="shared" si="309"/>
        <v>1112400414891.8254</v>
      </c>
      <c r="I575" s="9">
        <f t="shared" si="309"/>
        <v>1114790765719.4463</v>
      </c>
      <c r="J575" s="9">
        <f t="shared" si="309"/>
        <v>1189285043612.7183</v>
      </c>
      <c r="K575" s="9">
        <f t="shared" si="309"/>
        <v>1184979361351.0632</v>
      </c>
      <c r="L575" s="9">
        <f t="shared" si="309"/>
        <v>1176396960288.406</v>
      </c>
      <c r="M575" s="9">
        <f t="shared" si="309"/>
        <v>1168280306068.3286</v>
      </c>
      <c r="N575" s="9">
        <f t="shared" si="309"/>
        <v>1195786549330.0928</v>
      </c>
      <c r="O575" s="9">
        <f t="shared" si="309"/>
        <v>1231416007182.0952</v>
      </c>
      <c r="P575" s="9">
        <f t="shared" si="309"/>
        <v>1270409411819.6372</v>
      </c>
      <c r="Q575" s="9">
        <f t="shared" si="309"/>
        <v>1276731090209.6321</v>
      </c>
    </row>
    <row r="576" spans="2:17" s="9" customFormat="1" x14ac:dyDescent="0.25"/>
    <row r="577" spans="2:17" s="9" customFormat="1" x14ac:dyDescent="0.25">
      <c r="B577" s="9" t="s">
        <v>1436</v>
      </c>
      <c r="D577" s="116">
        <f t="shared" ref="D577:L577" si="310">+D579/D580</f>
        <v>0.34758785898503547</v>
      </c>
      <c r="E577" s="116">
        <f t="shared" si="310"/>
        <v>0.30611050124539624</v>
      </c>
      <c r="F577" s="116">
        <f t="shared" si="310"/>
        <v>0.23538748645576335</v>
      </c>
      <c r="G577" s="116">
        <f t="shared" si="310"/>
        <v>0.23649133243948892</v>
      </c>
      <c r="H577" s="116">
        <f t="shared" si="310"/>
        <v>0.24287599513941563</v>
      </c>
      <c r="I577" s="116">
        <f t="shared" si="310"/>
        <v>0.232660543490219</v>
      </c>
      <c r="J577" s="116">
        <f t="shared" si="310"/>
        <v>0.20104163374211462</v>
      </c>
      <c r="K577" s="116">
        <f t="shared" si="310"/>
        <v>0.18552219332628925</v>
      </c>
      <c r="L577" s="116">
        <f t="shared" si="310"/>
        <v>0.16908394798016532</v>
      </c>
      <c r="M577" s="116">
        <f>+M579/M580</f>
        <v>0.17647959264229965</v>
      </c>
      <c r="N577" s="116">
        <f>+N579/N580</f>
        <v>0.17863232178884786</v>
      </c>
      <c r="O577" s="116">
        <f>+O579/O580</f>
        <v>0.17969241451597975</v>
      </c>
      <c r="P577" s="116">
        <f>+P579/P580</f>
        <v>0.1804223557234769</v>
      </c>
      <c r="Q577" s="116">
        <f>+Q579/Q580</f>
        <v>0.18052273333918711</v>
      </c>
    </row>
    <row r="578" spans="2:17" s="9" customFormat="1" x14ac:dyDescent="0.25">
      <c r="B578" s="9" t="s">
        <v>1439</v>
      </c>
      <c r="D578" s="116">
        <v>1</v>
      </c>
      <c r="E578" s="116">
        <v>1</v>
      </c>
      <c r="F578" s="116">
        <v>1</v>
      </c>
      <c r="G578" s="116">
        <v>1</v>
      </c>
      <c r="H578" s="116">
        <v>1</v>
      </c>
      <c r="I578" s="116">
        <v>1</v>
      </c>
      <c r="J578" s="116">
        <v>1</v>
      </c>
      <c r="K578" s="116">
        <v>1</v>
      </c>
      <c r="L578" s="116">
        <v>1</v>
      </c>
      <c r="M578" s="116">
        <v>1</v>
      </c>
      <c r="N578" s="116">
        <v>1</v>
      </c>
      <c r="O578" s="116">
        <v>1</v>
      </c>
      <c r="P578" s="116">
        <v>1</v>
      </c>
      <c r="Q578" s="116">
        <v>1</v>
      </c>
    </row>
    <row r="579" spans="2:17" s="9" customFormat="1" x14ac:dyDescent="0.25">
      <c r="B579" s="130" t="s">
        <v>1437</v>
      </c>
      <c r="D579" s="9">
        <f t="shared" ref="D579:Q579" si="311">+D16</f>
        <v>112804280817</v>
      </c>
      <c r="E579" s="9">
        <f t="shared" si="311"/>
        <v>156232780967</v>
      </c>
      <c r="F579" s="9">
        <f t="shared" si="311"/>
        <v>226327325388</v>
      </c>
      <c r="G579" s="9">
        <f t="shared" si="311"/>
        <v>246845823384.32352</v>
      </c>
      <c r="H579" s="9">
        <f t="shared" si="311"/>
        <v>266309966508.59122</v>
      </c>
      <c r="I579" s="9">
        <f t="shared" si="311"/>
        <v>255676308111.1268</v>
      </c>
      <c r="J579" s="9">
        <f t="shared" si="311"/>
        <v>235769877555.76254</v>
      </c>
      <c r="K579" s="9">
        <f t="shared" si="311"/>
        <v>216649904936.67456</v>
      </c>
      <c r="L579" s="9">
        <f t="shared" si="311"/>
        <v>195890015817.12744</v>
      </c>
      <c r="M579" s="9">
        <f t="shared" si="311"/>
        <v>202903101417.76074</v>
      </c>
      <c r="N579" s="9">
        <f t="shared" si="311"/>
        <v>210162696977.25635</v>
      </c>
      <c r="O579" s="9">
        <f t="shared" si="311"/>
        <v>217677467320.66818</v>
      </c>
      <c r="P579" s="9">
        <f t="shared" si="311"/>
        <v>225456381841.65088</v>
      </c>
      <c r="Q579" s="9">
        <f t="shared" si="311"/>
        <v>226601807640.56918</v>
      </c>
    </row>
    <row r="580" spans="2:17" s="9" customFormat="1" x14ac:dyDescent="0.25">
      <c r="B580" s="130" t="s">
        <v>1438</v>
      </c>
      <c r="D580" s="9">
        <f t="shared" ref="D580:Q580" si="312">+D37</f>
        <v>324534582843</v>
      </c>
      <c r="E580" s="9">
        <f t="shared" si="312"/>
        <v>510380337595</v>
      </c>
      <c r="F580" s="9">
        <f t="shared" si="312"/>
        <v>961509589128.19678</v>
      </c>
      <c r="G580" s="9">
        <f t="shared" si="312"/>
        <v>1043783807372.6614</v>
      </c>
      <c r="H580" s="9">
        <f t="shared" si="312"/>
        <v>1096485333413.5554</v>
      </c>
      <c r="I580" s="9">
        <f t="shared" si="312"/>
        <v>1098924227871.3896</v>
      </c>
      <c r="J580" s="9">
        <f t="shared" si="312"/>
        <v>1172741551922.501</v>
      </c>
      <c r="K580" s="9">
        <f t="shared" si="312"/>
        <v>1167784301448.1782</v>
      </c>
      <c r="L580" s="9">
        <f t="shared" si="312"/>
        <v>1158537035343.5718</v>
      </c>
      <c r="M580" s="9">
        <f t="shared" si="312"/>
        <v>1149725576650.7688</v>
      </c>
      <c r="N580" s="9">
        <f t="shared" si="312"/>
        <v>1176509910819.3809</v>
      </c>
      <c r="O580" s="9">
        <f t="shared" si="312"/>
        <v>1211389294907.1062</v>
      </c>
      <c r="P580" s="9">
        <f t="shared" si="312"/>
        <v>1249603359503.825</v>
      </c>
      <c r="Q580" s="9">
        <f t="shared" si="312"/>
        <v>1255253581912.054</v>
      </c>
    </row>
    <row r="581" spans="2:17" s="9" customFormat="1" x14ac:dyDescent="0.25"/>
    <row r="582" spans="2:17" s="101" customFormat="1" x14ac:dyDescent="0.25">
      <c r="B582" s="101" t="s">
        <v>17</v>
      </c>
      <c r="D582" s="101">
        <f>+D584/D585</f>
        <v>-9.1841267310630789E-2</v>
      </c>
      <c r="E582" s="101">
        <f t="shared" ref="E582:Q582" si="313">+E584/E585</f>
        <v>-8.8427296541287198E-2</v>
      </c>
      <c r="F582" s="101">
        <f t="shared" si="313"/>
        <v>-0.27346708709570744</v>
      </c>
      <c r="G582" s="101">
        <f t="shared" si="313"/>
        <v>-2.4100653817307735E-2</v>
      </c>
      <c r="H582" s="101">
        <f t="shared" si="313"/>
        <v>7.1916874574091752E-2</v>
      </c>
      <c r="I582" s="101">
        <f t="shared" si="313"/>
        <v>1.2923893405084095E-2</v>
      </c>
      <c r="J582" s="101">
        <f t="shared" si="313"/>
        <v>-3.7487009871960079E-3</v>
      </c>
      <c r="K582" s="101">
        <f t="shared" si="313"/>
        <v>7.1647878374359146E-3</v>
      </c>
      <c r="L582" s="101">
        <f t="shared" si="313"/>
        <v>1.9400709235788471E-2</v>
      </c>
      <c r="M582" s="101">
        <f t="shared" si="313"/>
        <v>2.8482089844015311E-2</v>
      </c>
      <c r="N582" s="101">
        <f t="shared" si="313"/>
        <v>3.6655589501623974E-2</v>
      </c>
      <c r="O582" s="101">
        <f t="shared" si="313"/>
        <v>3.8390609451658807E-2</v>
      </c>
      <c r="P582" s="101">
        <f t="shared" si="313"/>
        <v>3.8342619481941793E-2</v>
      </c>
      <c r="Q582" s="101">
        <f t="shared" si="313"/>
        <v>3.6653595292530726E-2</v>
      </c>
    </row>
    <row r="583" spans="2:17" s="9" customFormat="1" x14ac:dyDescent="0.25">
      <c r="B583" s="9" t="s">
        <v>1439</v>
      </c>
      <c r="D583" s="116">
        <v>1</v>
      </c>
      <c r="E583" s="116">
        <v>1</v>
      </c>
      <c r="F583" s="116">
        <v>1</v>
      </c>
      <c r="G583" s="116">
        <v>1</v>
      </c>
      <c r="H583" s="116">
        <v>1</v>
      </c>
      <c r="I583" s="116">
        <v>1</v>
      </c>
      <c r="J583" s="116">
        <v>1</v>
      </c>
      <c r="K583" s="116">
        <v>1</v>
      </c>
      <c r="L583" s="116">
        <v>1</v>
      </c>
      <c r="M583" s="116">
        <v>1</v>
      </c>
      <c r="N583" s="116">
        <v>1</v>
      </c>
      <c r="O583" s="116">
        <v>1</v>
      </c>
      <c r="P583" s="116">
        <v>1</v>
      </c>
      <c r="Q583" s="116">
        <v>1</v>
      </c>
    </row>
    <row r="584" spans="2:17" s="9" customFormat="1" x14ac:dyDescent="0.25">
      <c r="B584" s="130" t="s">
        <v>1434</v>
      </c>
      <c r="D584" s="9">
        <f t="shared" ref="D584:Q584" si="314">+D119</f>
        <v>-109330184626</v>
      </c>
      <c r="E584" s="9">
        <f t="shared" si="314"/>
        <v>-119372735329</v>
      </c>
      <c r="F584" s="9">
        <f t="shared" si="314"/>
        <v>-395000106136</v>
      </c>
      <c r="G584" s="9">
        <f t="shared" si="314"/>
        <v>-38522908213.946457</v>
      </c>
      <c r="H584" s="9">
        <f t="shared" si="314"/>
        <v>123897937688.93311</v>
      </c>
      <c r="I584" s="9">
        <f t="shared" si="314"/>
        <v>23921629938.947098</v>
      </c>
      <c r="J584" s="9">
        <f t="shared" si="314"/>
        <v>-7179722561.0468826</v>
      </c>
      <c r="K584" s="9">
        <f t="shared" si="314"/>
        <v>14234575277.028671</v>
      </c>
      <c r="L584" s="9">
        <f t="shared" si="314"/>
        <v>39859191606.336472</v>
      </c>
      <c r="M584" s="9">
        <f t="shared" si="314"/>
        <v>60573967208.918594</v>
      </c>
      <c r="N584" s="9">
        <f t="shared" si="314"/>
        <v>80697050389.604568</v>
      </c>
      <c r="O584" s="9">
        <f t="shared" si="314"/>
        <v>87487447438.191071</v>
      </c>
      <c r="P584" s="9">
        <f t="shared" si="314"/>
        <v>90449423897.718399</v>
      </c>
      <c r="Q584" s="9">
        <f t="shared" si="314"/>
        <v>86897377015.378036</v>
      </c>
    </row>
    <row r="585" spans="2:17" s="9" customFormat="1" x14ac:dyDescent="0.25">
      <c r="B585" s="130" t="s">
        <v>1435</v>
      </c>
      <c r="D585" s="9">
        <f t="shared" ref="D585:Q585" si="315">+D62</f>
        <v>1190425478954</v>
      </c>
      <c r="E585" s="9">
        <f t="shared" si="315"/>
        <v>1349953464576</v>
      </c>
      <c r="F585" s="9">
        <f t="shared" si="315"/>
        <v>1444415524848</v>
      </c>
      <c r="G585" s="9">
        <f t="shared" si="315"/>
        <v>1598417557712.9558</v>
      </c>
      <c r="H585" s="9">
        <f t="shared" si="315"/>
        <v>1722793689557.3555</v>
      </c>
      <c r="I585" s="9">
        <f t="shared" si="315"/>
        <v>1850961563141.3853</v>
      </c>
      <c r="J585" s="9">
        <f t="shared" si="315"/>
        <v>1915256134210.1724</v>
      </c>
      <c r="K585" s="9">
        <f t="shared" si="315"/>
        <v>1986740654434.0669</v>
      </c>
      <c r="L585" s="9">
        <f t="shared" si="315"/>
        <v>2054522395130.1873</v>
      </c>
      <c r="M585" s="9">
        <f t="shared" si="315"/>
        <v>2126738857319.0132</v>
      </c>
      <c r="N585" s="9">
        <f t="shared" si="315"/>
        <v>2201493728153.7759</v>
      </c>
      <c r="O585" s="9">
        <f t="shared" si="315"/>
        <v>2278876232698.3809</v>
      </c>
      <c r="P585" s="9">
        <f t="shared" si="315"/>
        <v>2358978732277.729</v>
      </c>
      <c r="Q585" s="9">
        <f t="shared" si="315"/>
        <v>2370773625939.1177</v>
      </c>
    </row>
    <row r="586" spans="2:17" s="9" customFormat="1" x14ac:dyDescent="0.25">
      <c r="B586" s="130"/>
    </row>
    <row r="587" spans="2:17" s="9" customFormat="1" x14ac:dyDescent="0.25">
      <c r="B587" s="9" t="s">
        <v>1442</v>
      </c>
      <c r="D587" s="116">
        <f t="shared" ref="D587:M587" si="316">+D589/D590</f>
        <v>6.2638220896633285</v>
      </c>
      <c r="E587" s="116">
        <f t="shared" si="316"/>
        <v>5.7858948244932344</v>
      </c>
      <c r="F587" s="116">
        <f t="shared" si="316"/>
        <v>4.6344309188771531</v>
      </c>
      <c r="G587" s="116">
        <f t="shared" si="316"/>
        <v>4.470767979459394</v>
      </c>
      <c r="H587" s="116">
        <f t="shared" si="316"/>
        <v>3.2109558197113359</v>
      </c>
      <c r="I587" s="116">
        <f t="shared" si="316"/>
        <v>3.2885633800236702</v>
      </c>
      <c r="J587" s="116">
        <f t="shared" si="316"/>
        <v>3.0393045326339059</v>
      </c>
      <c r="K587" s="116">
        <f t="shared" si="316"/>
        <v>2.9648795568324915</v>
      </c>
      <c r="L587" s="116">
        <f t="shared" si="316"/>
        <v>2.4892188907673032</v>
      </c>
      <c r="M587" s="116">
        <f t="shared" si="316"/>
        <v>2.3426733039711647</v>
      </c>
      <c r="N587" s="116">
        <f>+N589/N590</f>
        <v>2.1667628616105192</v>
      </c>
      <c r="O587" s="116">
        <f>+O589/O590</f>
        <v>2.0005131774827705</v>
      </c>
      <c r="P587" s="116">
        <f>+P589/P590</f>
        <v>1.8595300587795698</v>
      </c>
      <c r="Q587" s="116">
        <f>+Q589/Q590</f>
        <v>1.7409018993619498</v>
      </c>
    </row>
    <row r="588" spans="2:17" s="9" customFormat="1" x14ac:dyDescent="0.25">
      <c r="B588" s="9" t="s">
        <v>1439</v>
      </c>
      <c r="D588" s="116">
        <v>1</v>
      </c>
      <c r="E588" s="116">
        <v>1</v>
      </c>
      <c r="F588" s="116">
        <v>1</v>
      </c>
      <c r="G588" s="116">
        <v>1</v>
      </c>
      <c r="H588" s="116">
        <v>1</v>
      </c>
      <c r="I588" s="116">
        <v>1</v>
      </c>
      <c r="J588" s="116">
        <v>1</v>
      </c>
      <c r="K588" s="116">
        <v>1</v>
      </c>
      <c r="L588" s="116">
        <v>1</v>
      </c>
      <c r="M588" s="116">
        <v>1</v>
      </c>
      <c r="N588" s="116">
        <v>1</v>
      </c>
      <c r="O588" s="116">
        <v>1</v>
      </c>
      <c r="P588" s="116">
        <v>1</v>
      </c>
      <c r="Q588" s="116">
        <v>1</v>
      </c>
    </row>
    <row r="589" spans="2:17" s="9" customFormat="1" x14ac:dyDescent="0.25">
      <c r="B589" s="130" t="str">
        <f>+B585</f>
        <v>Ingresos netos</v>
      </c>
      <c r="D589" s="9">
        <f t="shared" ref="D589:Q589" si="317">+D62</f>
        <v>1190425478954</v>
      </c>
      <c r="E589" s="9">
        <f t="shared" si="317"/>
        <v>1349953464576</v>
      </c>
      <c r="F589" s="9">
        <f t="shared" si="317"/>
        <v>1444415524848</v>
      </c>
      <c r="G589" s="9">
        <f t="shared" si="317"/>
        <v>1598417557712.9558</v>
      </c>
      <c r="H589" s="9">
        <f t="shared" si="317"/>
        <v>1722793689557.3555</v>
      </c>
      <c r="I589" s="9">
        <f t="shared" si="317"/>
        <v>1850961563141.3853</v>
      </c>
      <c r="J589" s="9">
        <f t="shared" si="317"/>
        <v>1915256134210.1724</v>
      </c>
      <c r="K589" s="9">
        <f t="shared" si="317"/>
        <v>1986740654434.0669</v>
      </c>
      <c r="L589" s="9">
        <f t="shared" si="317"/>
        <v>2054522395130.1873</v>
      </c>
      <c r="M589" s="9">
        <f t="shared" si="317"/>
        <v>2126738857319.0132</v>
      </c>
      <c r="N589" s="9">
        <f t="shared" si="317"/>
        <v>2201493728153.7759</v>
      </c>
      <c r="O589" s="9">
        <f t="shared" si="317"/>
        <v>2278876232698.3809</v>
      </c>
      <c r="P589" s="9">
        <f t="shared" si="317"/>
        <v>2358978732277.729</v>
      </c>
      <c r="Q589" s="9">
        <f t="shared" si="317"/>
        <v>2370773625939.1177</v>
      </c>
    </row>
    <row r="590" spans="2:17" s="9" customFormat="1" x14ac:dyDescent="0.25">
      <c r="B590" s="130" t="s">
        <v>1441</v>
      </c>
      <c r="D590" s="9">
        <f t="shared" ref="D590:Q590" si="318">+D10</f>
        <v>190047779441</v>
      </c>
      <c r="E590" s="9">
        <f t="shared" si="318"/>
        <v>233318009664</v>
      </c>
      <c r="F590" s="9">
        <f t="shared" si="318"/>
        <v>311670526572</v>
      </c>
      <c r="G590" s="9">
        <f t="shared" si="318"/>
        <v>357526394806.61145</v>
      </c>
      <c r="H590" s="9">
        <f t="shared" si="318"/>
        <v>536536092767.6153</v>
      </c>
      <c r="I590" s="9">
        <f t="shared" si="318"/>
        <v>562848073534.18335</v>
      </c>
      <c r="J590" s="9">
        <f t="shared" si="318"/>
        <v>630162628866.4082</v>
      </c>
      <c r="K590" s="9">
        <f t="shared" si="318"/>
        <v>670091521881.78174</v>
      </c>
      <c r="L590" s="9">
        <f t="shared" si="318"/>
        <v>825368312425.46118</v>
      </c>
      <c r="M590" s="9">
        <f t="shared" si="318"/>
        <v>907825625414.30261</v>
      </c>
      <c r="N590" s="9">
        <f t="shared" si="318"/>
        <v>1016028919065.671</v>
      </c>
      <c r="O590" s="9">
        <f t="shared" si="318"/>
        <v>1139145824355.8647</v>
      </c>
      <c r="P590" s="9">
        <f t="shared" si="318"/>
        <v>1268588652891.125</v>
      </c>
      <c r="Q590" s="9">
        <f t="shared" si="318"/>
        <v>1361807708296.498</v>
      </c>
    </row>
    <row r="591" spans="2:17" s="9" customFormat="1" x14ac:dyDescent="0.25">
      <c r="B591" s="130"/>
    </row>
    <row r="592" spans="2:17" s="9" customFormat="1" x14ac:dyDescent="0.25">
      <c r="B592" s="9" t="s">
        <v>1440</v>
      </c>
      <c r="D592" s="8">
        <f t="shared" ref="D592:M592" si="319">+D594/D595</f>
        <v>-0.57527735892300369</v>
      </c>
      <c r="E592" s="8">
        <f t="shared" si="319"/>
        <v>-0.51163103740216209</v>
      </c>
      <c r="F592" s="8">
        <f t="shared" si="319"/>
        <v>-1.2673643237316179</v>
      </c>
      <c r="G592" s="8">
        <f t="shared" si="319"/>
        <v>-0.10774843137045524</v>
      </c>
      <c r="H592" s="8">
        <f t="shared" si="319"/>
        <v>0.23092190694913012</v>
      </c>
      <c r="I592" s="8">
        <f t="shared" si="319"/>
        <v>4.2501042579288974E-2</v>
      </c>
      <c r="J592" s="8">
        <f t="shared" si="319"/>
        <v>-1.1393443901874025E-2</v>
      </c>
      <c r="K592" s="8">
        <f t="shared" si="319"/>
        <v>2.1242732988255821E-2</v>
      </c>
      <c r="L592" s="8">
        <f t="shared" si="319"/>
        <v>4.8292611924008348E-2</v>
      </c>
      <c r="M592" s="8">
        <f t="shared" si="319"/>
        <v>6.6724231518882904E-2</v>
      </c>
      <c r="N592" s="8">
        <f>+N594/N595</f>
        <v>7.9423970002559269E-2</v>
      </c>
      <c r="O592" s="8">
        <f>+O594/O595</f>
        <v>7.6800920099638029E-2</v>
      </c>
      <c r="P592" s="8">
        <f>+P594/P595</f>
        <v>7.12992534590179E-2</v>
      </c>
      <c r="Q592" s="8">
        <f>+Q594/Q595</f>
        <v>6.3810313663210966E-2</v>
      </c>
    </row>
    <row r="593" spans="2:17" s="9" customFormat="1" x14ac:dyDescent="0.25">
      <c r="B593" s="9" t="s">
        <v>1439</v>
      </c>
      <c r="D593" s="116">
        <v>1</v>
      </c>
      <c r="E593" s="116">
        <v>1</v>
      </c>
      <c r="F593" s="116">
        <v>1</v>
      </c>
      <c r="G593" s="116">
        <v>1</v>
      </c>
      <c r="H593" s="116">
        <v>1</v>
      </c>
      <c r="I593" s="116">
        <v>1</v>
      </c>
      <c r="J593" s="116">
        <v>1</v>
      </c>
      <c r="K593" s="116">
        <v>1</v>
      </c>
      <c r="L593" s="116">
        <v>1</v>
      </c>
      <c r="M593" s="116">
        <v>1</v>
      </c>
      <c r="N593" s="116">
        <v>1</v>
      </c>
      <c r="O593" s="116">
        <v>1</v>
      </c>
      <c r="P593" s="116">
        <v>1</v>
      </c>
      <c r="Q593" s="116">
        <v>1</v>
      </c>
    </row>
    <row r="594" spans="2:17" s="9" customFormat="1" x14ac:dyDescent="0.25">
      <c r="B594" s="130" t="str">
        <f>+B584</f>
        <v>Utilidad neta</v>
      </c>
      <c r="D594" s="9">
        <f>+D584</f>
        <v>-109330184626</v>
      </c>
      <c r="E594" s="9">
        <f t="shared" ref="E594:Q594" si="320">+E584</f>
        <v>-119372735329</v>
      </c>
      <c r="F594" s="9">
        <f t="shared" si="320"/>
        <v>-395000106136</v>
      </c>
      <c r="G594" s="9">
        <f t="shared" si="320"/>
        <v>-38522908213.946457</v>
      </c>
      <c r="H594" s="9">
        <f t="shared" si="320"/>
        <v>123897937688.93311</v>
      </c>
      <c r="I594" s="9">
        <f t="shared" si="320"/>
        <v>23921629938.947098</v>
      </c>
      <c r="J594" s="9">
        <f t="shared" si="320"/>
        <v>-7179722561.0468826</v>
      </c>
      <c r="K594" s="9">
        <f t="shared" si="320"/>
        <v>14234575277.028671</v>
      </c>
      <c r="L594" s="9">
        <f t="shared" si="320"/>
        <v>39859191606.336472</v>
      </c>
      <c r="M594" s="9">
        <f t="shared" si="320"/>
        <v>60573967208.918594</v>
      </c>
      <c r="N594" s="9">
        <f t="shared" si="320"/>
        <v>80697050389.604568</v>
      </c>
      <c r="O594" s="9">
        <f t="shared" si="320"/>
        <v>87487447438.191071</v>
      </c>
      <c r="P594" s="9">
        <f t="shared" si="320"/>
        <v>90449423897.718399</v>
      </c>
      <c r="Q594" s="9">
        <f t="shared" si="320"/>
        <v>86897377015.378036</v>
      </c>
    </row>
    <row r="595" spans="2:17" s="9" customFormat="1" x14ac:dyDescent="0.25">
      <c r="B595" s="130" t="s">
        <v>1441</v>
      </c>
      <c r="D595" s="9">
        <f>+D590</f>
        <v>190047779441</v>
      </c>
      <c r="E595" s="9">
        <f t="shared" ref="E595:Q595" si="321">+E590</f>
        <v>233318009664</v>
      </c>
      <c r="F595" s="9">
        <f t="shared" si="321"/>
        <v>311670526572</v>
      </c>
      <c r="G595" s="9">
        <f t="shared" si="321"/>
        <v>357526394806.61145</v>
      </c>
      <c r="H595" s="9">
        <f t="shared" si="321"/>
        <v>536536092767.6153</v>
      </c>
      <c r="I595" s="9">
        <f t="shared" si="321"/>
        <v>562848073534.18335</v>
      </c>
      <c r="J595" s="9">
        <f t="shared" si="321"/>
        <v>630162628866.4082</v>
      </c>
      <c r="K595" s="9">
        <f t="shared" si="321"/>
        <v>670091521881.78174</v>
      </c>
      <c r="L595" s="9">
        <f t="shared" si="321"/>
        <v>825368312425.46118</v>
      </c>
      <c r="M595" s="9">
        <f t="shared" si="321"/>
        <v>907825625414.30261</v>
      </c>
      <c r="N595" s="9">
        <f t="shared" si="321"/>
        <v>1016028919065.671</v>
      </c>
      <c r="O595" s="9">
        <f t="shared" si="321"/>
        <v>1139145824355.8647</v>
      </c>
      <c r="P595" s="9">
        <f t="shared" si="321"/>
        <v>1268588652891.125</v>
      </c>
      <c r="Q595" s="9">
        <f t="shared" si="321"/>
        <v>1361807708296.498</v>
      </c>
    </row>
    <row r="596" spans="2:17" s="9" customFormat="1" x14ac:dyDescent="0.25">
      <c r="B596" s="130"/>
    </row>
    <row r="597" spans="2:17" s="9" customFormat="1" x14ac:dyDescent="0.25">
      <c r="B597" s="9" t="s">
        <v>1449</v>
      </c>
      <c r="D597" s="8">
        <f>+D600/D599</f>
        <v>1.0573197429737109</v>
      </c>
      <c r="E597" s="8">
        <f t="shared" ref="E597:Q597" si="322">+E600/E599</f>
        <v>1.0483184022343222</v>
      </c>
      <c r="F597" s="8">
        <f t="shared" si="322"/>
        <v>1.2458603063660443</v>
      </c>
      <c r="G597" s="8">
        <f t="shared" si="322"/>
        <v>1.0047402876446143</v>
      </c>
      <c r="H597" s="8">
        <f t="shared" si="322"/>
        <v>0.99109487708809907</v>
      </c>
      <c r="I597" s="8">
        <f t="shared" si="322"/>
        <v>0.9250041880831632</v>
      </c>
      <c r="J597" s="8">
        <f t="shared" si="322"/>
        <v>0.96815009866866231</v>
      </c>
      <c r="K597" s="8">
        <f t="shared" si="322"/>
        <v>0.95758147992967968</v>
      </c>
      <c r="L597" s="8">
        <f t="shared" si="322"/>
        <v>0.94543522518509626</v>
      </c>
      <c r="M597" s="8">
        <f t="shared" si="322"/>
        <v>0.93251158277929125</v>
      </c>
      <c r="N597" s="8">
        <f t="shared" si="322"/>
        <v>0.92426883440231189</v>
      </c>
      <c r="O597" s="8">
        <f t="shared" si="322"/>
        <v>0.92234913388164819</v>
      </c>
      <c r="P597" s="8">
        <f t="shared" si="322"/>
        <v>0.92221547946433435</v>
      </c>
      <c r="Q597" s="8">
        <f t="shared" si="322"/>
        <v>0.92221547946433435</v>
      </c>
    </row>
    <row r="598" spans="2:17" s="268" customFormat="1" x14ac:dyDescent="0.25">
      <c r="B598" s="268" t="s">
        <v>1439</v>
      </c>
      <c r="D598" s="268">
        <v>0.9</v>
      </c>
      <c r="E598" s="268">
        <v>0.9</v>
      </c>
      <c r="F598" s="268">
        <v>0.9</v>
      </c>
      <c r="G598" s="268">
        <v>0.9</v>
      </c>
      <c r="H598" s="268">
        <v>0.9</v>
      </c>
      <c r="I598" s="268">
        <v>0.9</v>
      </c>
      <c r="J598" s="268">
        <v>0.9</v>
      </c>
      <c r="K598" s="268">
        <v>0.9</v>
      </c>
      <c r="L598" s="268">
        <v>0.9</v>
      </c>
      <c r="M598" s="268">
        <v>0.9</v>
      </c>
      <c r="N598" s="268">
        <v>0.9</v>
      </c>
      <c r="O598" s="268">
        <v>0.9</v>
      </c>
      <c r="P598" s="268">
        <v>0.9</v>
      </c>
      <c r="Q598" s="268">
        <v>0.9</v>
      </c>
    </row>
    <row r="599" spans="2:17" s="9" customFormat="1" x14ac:dyDescent="0.25">
      <c r="B599" s="130" t="str">
        <f>+B589</f>
        <v>Ingresos netos</v>
      </c>
      <c r="D599" s="9">
        <f>+D589</f>
        <v>1190425478954</v>
      </c>
      <c r="E599" s="9">
        <f t="shared" ref="E599:Q599" si="323">+E589</f>
        <v>1349953464576</v>
      </c>
      <c r="F599" s="9">
        <f t="shared" si="323"/>
        <v>1444415524848</v>
      </c>
      <c r="G599" s="9">
        <f t="shared" si="323"/>
        <v>1598417557712.9558</v>
      </c>
      <c r="H599" s="9">
        <f t="shared" si="323"/>
        <v>1722793689557.3555</v>
      </c>
      <c r="I599" s="9">
        <f t="shared" si="323"/>
        <v>1850961563141.3853</v>
      </c>
      <c r="J599" s="9">
        <f t="shared" si="323"/>
        <v>1915256134210.1724</v>
      </c>
      <c r="K599" s="9">
        <f t="shared" si="323"/>
        <v>1986740654434.0669</v>
      </c>
      <c r="L599" s="9">
        <f t="shared" si="323"/>
        <v>2054522395130.1873</v>
      </c>
      <c r="M599" s="9">
        <f t="shared" si="323"/>
        <v>2126738857319.0132</v>
      </c>
      <c r="N599" s="9">
        <f t="shared" si="323"/>
        <v>2201493728153.7759</v>
      </c>
      <c r="O599" s="9">
        <f t="shared" si="323"/>
        <v>2278876232698.3809</v>
      </c>
      <c r="P599" s="9">
        <f t="shared" si="323"/>
        <v>2358978732277.729</v>
      </c>
      <c r="Q599" s="9">
        <f t="shared" si="323"/>
        <v>2370773625939.1177</v>
      </c>
    </row>
    <row r="600" spans="2:17" s="9" customFormat="1" x14ac:dyDescent="0.25">
      <c r="B600" s="130" t="s">
        <v>13</v>
      </c>
      <c r="D600" s="9">
        <f t="shared" ref="D600:Q600" si="324">+D71</f>
        <v>1258660361437</v>
      </c>
      <c r="E600" s="9">
        <f t="shared" si="324"/>
        <v>1415181059075</v>
      </c>
      <c r="F600" s="9">
        <f t="shared" si="324"/>
        <v>1799539968307</v>
      </c>
      <c r="G600" s="9">
        <f t="shared" si="324"/>
        <v>1605994516712.717</v>
      </c>
      <c r="H600" s="9">
        <f t="shared" si="324"/>
        <v>1707452000000</v>
      </c>
      <c r="I600" s="9">
        <f t="shared" si="324"/>
        <v>1712147197886.7397</v>
      </c>
      <c r="J600" s="9">
        <f t="shared" si="324"/>
        <v>1854255415311.3391</v>
      </c>
      <c r="K600" s="9">
        <f t="shared" si="324"/>
        <v>1902466056109.4341</v>
      </c>
      <c r="L600" s="9">
        <f t="shared" si="324"/>
        <v>1942417843287.7319</v>
      </c>
      <c r="M600" s="9">
        <f t="shared" si="324"/>
        <v>1983208617996.7742</v>
      </c>
      <c r="N600" s="9">
        <f t="shared" si="324"/>
        <v>2034772042064.6904</v>
      </c>
      <c r="O600" s="9">
        <f t="shared" si="324"/>
        <v>2101919519452.825</v>
      </c>
      <c r="P600" s="9">
        <f t="shared" si="324"/>
        <v>2175486702633.6736</v>
      </c>
      <c r="Q600" s="9">
        <f t="shared" si="324"/>
        <v>2186364136146.8418</v>
      </c>
    </row>
    <row r="601" spans="2:17" s="9" customFormat="1" x14ac:dyDescent="0.25">
      <c r="B601" s="130"/>
    </row>
    <row r="602" spans="2:17" s="9" customFormat="1" x14ac:dyDescent="0.25">
      <c r="B602" s="9" t="s">
        <v>1455</v>
      </c>
      <c r="D602" s="269">
        <f t="shared" ref="D602:Q602" si="325">+D50</f>
        <v>-169498417215</v>
      </c>
      <c r="E602" s="269">
        <f t="shared" si="325"/>
        <v>-288871152544</v>
      </c>
      <c r="F602" s="269">
        <f t="shared" si="325"/>
        <v>-672239351599</v>
      </c>
      <c r="G602" s="269">
        <f t="shared" si="325"/>
        <v>-710762259812.94641</v>
      </c>
      <c r="H602" s="269">
        <f t="shared" si="325"/>
        <v>-586864322124.01331</v>
      </c>
      <c r="I602" s="269">
        <f t="shared" si="325"/>
        <v>-562942692185.06616</v>
      </c>
      <c r="J602" s="269">
        <f t="shared" si="325"/>
        <v>-570122414746.11304</v>
      </c>
      <c r="K602" s="269">
        <f t="shared" si="325"/>
        <v>-525887839469.08435</v>
      </c>
      <c r="L602" s="269">
        <f t="shared" si="325"/>
        <v>-362028647862.74786</v>
      </c>
      <c r="M602" s="269">
        <f t="shared" si="325"/>
        <v>-271454680653.82935</v>
      </c>
      <c r="N602" s="269">
        <f t="shared" si="325"/>
        <v>-190757630264.22479</v>
      </c>
      <c r="O602" s="269">
        <f t="shared" si="325"/>
        <v>-103270182826.03372</v>
      </c>
      <c r="P602" s="269">
        <f t="shared" si="325"/>
        <v>-12820758928.315292</v>
      </c>
      <c r="Q602" s="269">
        <f t="shared" si="325"/>
        <v>74076618087.062729</v>
      </c>
    </row>
    <row r="603" spans="2:17" s="9" customFormat="1" x14ac:dyDescent="0.25">
      <c r="B603" s="9" t="s">
        <v>19</v>
      </c>
      <c r="D603" s="307">
        <v>2015</v>
      </c>
      <c r="E603" s="307">
        <f>+D603+1</f>
        <v>2016</v>
      </c>
      <c r="F603" s="307">
        <f t="shared" ref="F603:Q603" si="326">+E603+1</f>
        <v>2017</v>
      </c>
      <c r="G603" s="307">
        <f t="shared" si="326"/>
        <v>2018</v>
      </c>
      <c r="H603" s="307">
        <f t="shared" si="326"/>
        <v>2019</v>
      </c>
      <c r="I603" s="307">
        <f t="shared" si="326"/>
        <v>2020</v>
      </c>
      <c r="J603" s="307">
        <f t="shared" si="326"/>
        <v>2021</v>
      </c>
      <c r="K603" s="307">
        <f t="shared" si="326"/>
        <v>2022</v>
      </c>
      <c r="L603" s="307">
        <f t="shared" si="326"/>
        <v>2023</v>
      </c>
      <c r="M603" s="307">
        <f t="shared" si="326"/>
        <v>2024</v>
      </c>
      <c r="N603" s="307">
        <f t="shared" si="326"/>
        <v>2025</v>
      </c>
      <c r="O603" s="307">
        <f t="shared" si="326"/>
        <v>2026</v>
      </c>
      <c r="P603" s="307">
        <f t="shared" si="326"/>
        <v>2027</v>
      </c>
      <c r="Q603" s="307">
        <f t="shared" si="326"/>
        <v>2028</v>
      </c>
    </row>
    <row r="604" spans="2:17" s="9" customFormat="1" x14ac:dyDescent="0.25">
      <c r="B604" s="9" t="s">
        <v>1564</v>
      </c>
      <c r="D604" s="307" t="str">
        <f t="shared" ref="D604:P604" si="327">IF(D602&gt;1,D603,"")</f>
        <v/>
      </c>
      <c r="E604" s="307" t="str">
        <f t="shared" si="327"/>
        <v/>
      </c>
      <c r="F604" s="307" t="str">
        <f t="shared" si="327"/>
        <v/>
      </c>
      <c r="G604" s="307" t="str">
        <f t="shared" si="327"/>
        <v/>
      </c>
      <c r="H604" s="307" t="str">
        <f t="shared" si="327"/>
        <v/>
      </c>
      <c r="I604" s="307" t="str">
        <f t="shared" si="327"/>
        <v/>
      </c>
      <c r="J604" s="307" t="str">
        <f t="shared" si="327"/>
        <v/>
      </c>
      <c r="K604" s="307" t="str">
        <f t="shared" si="327"/>
        <v/>
      </c>
      <c r="L604" s="307" t="str">
        <f t="shared" si="327"/>
        <v/>
      </c>
      <c r="M604" s="307" t="str">
        <f t="shared" si="327"/>
        <v/>
      </c>
      <c r="N604" s="307" t="str">
        <f t="shared" si="327"/>
        <v/>
      </c>
      <c r="O604" s="307" t="str">
        <f t="shared" si="327"/>
        <v/>
      </c>
      <c r="P604" s="307" t="str">
        <f t="shared" si="327"/>
        <v/>
      </c>
      <c r="Q604" s="307">
        <f>IF(Q602&gt;1,Q603,"")</f>
        <v>2028</v>
      </c>
    </row>
    <row r="605" spans="2:17" s="9" customFormat="1" x14ac:dyDescent="0.25">
      <c r="D605" s="269"/>
      <c r="E605" s="269"/>
      <c r="F605" s="269"/>
      <c r="G605" s="269"/>
      <c r="H605" s="269"/>
      <c r="I605" s="269"/>
      <c r="J605" s="269"/>
      <c r="K605" s="269"/>
      <c r="L605" s="269"/>
      <c r="M605" s="269"/>
      <c r="N605" s="269"/>
      <c r="O605" s="269"/>
      <c r="P605" s="269"/>
      <c r="Q605" s="269"/>
    </row>
    <row r="606" spans="2:17" s="9" customFormat="1" x14ac:dyDescent="0.25">
      <c r="B606" s="9" t="s">
        <v>1459</v>
      </c>
      <c r="D606" s="269">
        <f t="shared" ref="D606:Q606" si="328">+D12</f>
        <v>10829724787</v>
      </c>
      <c r="E606" s="269">
        <f t="shared" si="328"/>
        <v>20611607335</v>
      </c>
      <c r="F606" s="269">
        <f t="shared" si="328"/>
        <v>39587220947</v>
      </c>
      <c r="G606" s="269">
        <f t="shared" si="328"/>
        <v>61681498714.984261</v>
      </c>
      <c r="H606" s="269">
        <f t="shared" si="328"/>
        <v>218932520833.20761</v>
      </c>
      <c r="I606" s="269">
        <f t="shared" si="328"/>
        <v>253618821251.07599</v>
      </c>
      <c r="J606" s="269">
        <f t="shared" si="328"/>
        <v>339745912220.68298</v>
      </c>
      <c r="K606" s="269">
        <f t="shared" si="328"/>
        <v>397714391707.65704</v>
      </c>
      <c r="L606" s="269">
        <f t="shared" si="328"/>
        <v>572651524857.43738</v>
      </c>
      <c r="M606" s="269">
        <f t="shared" si="328"/>
        <v>646866276760.48828</v>
      </c>
      <c r="N606" s="269">
        <f t="shared" si="328"/>
        <v>746537390851.57446</v>
      </c>
      <c r="O606" s="269">
        <f t="shared" si="328"/>
        <v>860822379355.84607</v>
      </c>
      <c r="P606" s="269">
        <f t="shared" si="328"/>
        <v>981122685054.69434</v>
      </c>
      <c r="Q606" s="269">
        <f t="shared" si="328"/>
        <v>1072963287082.887</v>
      </c>
    </row>
    <row r="607" spans="2:17" s="9" customFormat="1" x14ac:dyDescent="0.25">
      <c r="B607" s="9" t="s">
        <v>1460</v>
      </c>
      <c r="D607" s="269">
        <f t="shared" ref="D607:Q607" si="329">+D364</f>
        <v>262220908632.70834</v>
      </c>
      <c r="E607" s="269">
        <f t="shared" si="329"/>
        <v>294829387307.29163</v>
      </c>
      <c r="F607" s="269">
        <f t="shared" si="329"/>
        <v>374904160063.95837</v>
      </c>
      <c r="G607" s="269">
        <f t="shared" si="329"/>
        <v>334582190981.81604</v>
      </c>
      <c r="H607" s="269">
        <f t="shared" si="329"/>
        <v>355719166666.66669</v>
      </c>
      <c r="I607" s="269">
        <f t="shared" si="329"/>
        <v>356697332893.07074</v>
      </c>
      <c r="J607" s="269">
        <f t="shared" si="329"/>
        <v>386303211523.19562</v>
      </c>
      <c r="K607" s="269">
        <f t="shared" si="329"/>
        <v>396347095022.79877</v>
      </c>
      <c r="L607" s="269">
        <f t="shared" si="329"/>
        <v>404670384018.27753</v>
      </c>
      <c r="M607" s="269">
        <f t="shared" si="329"/>
        <v>413168462082.66125</v>
      </c>
      <c r="N607" s="269">
        <f t="shared" si="329"/>
        <v>423910842096.81049</v>
      </c>
      <c r="O607" s="269">
        <f t="shared" si="329"/>
        <v>437899899886.00519</v>
      </c>
      <c r="P607" s="269">
        <f t="shared" si="329"/>
        <v>453226396382.01532</v>
      </c>
      <c r="Q607" s="269">
        <f t="shared" si="329"/>
        <v>455492528363.92535</v>
      </c>
    </row>
    <row r="608" spans="2:17" s="9" customFormat="1" x14ac:dyDescent="0.25">
      <c r="B608" s="270" t="s">
        <v>1461</v>
      </c>
      <c r="D608" s="269">
        <f t="shared" ref="D608:I608" si="330">+D606-D607</f>
        <v>-251391183845.70834</v>
      </c>
      <c r="E608" s="269">
        <f t="shared" si="330"/>
        <v>-274217779972.29163</v>
      </c>
      <c r="F608" s="269">
        <f t="shared" si="330"/>
        <v>-335316939116.95837</v>
      </c>
      <c r="G608" s="269">
        <f t="shared" si="330"/>
        <v>-272900692266.83179</v>
      </c>
      <c r="H608" s="269">
        <f t="shared" si="330"/>
        <v>-136786645833.45908</v>
      </c>
      <c r="I608" s="269">
        <f t="shared" si="330"/>
        <v>-103078511641.99475</v>
      </c>
      <c r="J608" s="269">
        <f t="shared" ref="J608:Q608" si="331">+J606-J607</f>
        <v>-46557299302.512634</v>
      </c>
      <c r="K608" s="269">
        <f t="shared" si="331"/>
        <v>1367296684.8582764</v>
      </c>
      <c r="L608" s="269">
        <f t="shared" si="331"/>
        <v>167981140839.15985</v>
      </c>
      <c r="M608" s="269">
        <f t="shared" si="331"/>
        <v>233697814677.82703</v>
      </c>
      <c r="N608" s="269">
        <f t="shared" si="331"/>
        <v>322626548754.76398</v>
      </c>
      <c r="O608" s="269">
        <f t="shared" si="331"/>
        <v>422922479469.84088</v>
      </c>
      <c r="P608" s="269">
        <f t="shared" si="331"/>
        <v>527896288672.67902</v>
      </c>
      <c r="Q608" s="269">
        <f t="shared" si="331"/>
        <v>617470758718.96167</v>
      </c>
    </row>
    <row r="609" spans="2:17" s="9" customFormat="1" x14ac:dyDescent="0.25">
      <c r="B609" s="270" t="s">
        <v>1515</v>
      </c>
      <c r="D609" s="269">
        <f t="shared" ref="D609:I609" si="332">MAX(0,IF(D608&gt;0,D607,D607+D608))</f>
        <v>10829724787</v>
      </c>
      <c r="E609" s="269">
        <f t="shared" si="332"/>
        <v>20611607335</v>
      </c>
      <c r="F609" s="269">
        <f t="shared" si="332"/>
        <v>39587220947</v>
      </c>
      <c r="G609" s="269">
        <f t="shared" si="332"/>
        <v>61681498714.984253</v>
      </c>
      <c r="H609" s="269">
        <f t="shared" si="332"/>
        <v>218932520833.20761</v>
      </c>
      <c r="I609" s="269">
        <f t="shared" si="332"/>
        <v>253618821251.07599</v>
      </c>
      <c r="J609" s="269">
        <f t="shared" ref="J609:Q609" si="333">MAX(0,IF(J608&gt;0,J607,J607+J608))</f>
        <v>339745912220.68298</v>
      </c>
      <c r="K609" s="269">
        <f t="shared" si="333"/>
        <v>396347095022.79877</v>
      </c>
      <c r="L609" s="269">
        <f t="shared" si="333"/>
        <v>404670384018.27753</v>
      </c>
      <c r="M609" s="269">
        <f t="shared" si="333"/>
        <v>413168462082.66125</v>
      </c>
      <c r="N609" s="269">
        <f t="shared" si="333"/>
        <v>423910842096.81049</v>
      </c>
      <c r="O609" s="269">
        <f t="shared" si="333"/>
        <v>437899899886.00519</v>
      </c>
      <c r="P609" s="269">
        <f t="shared" si="333"/>
        <v>453226396382.01532</v>
      </c>
      <c r="Q609" s="269">
        <f t="shared" si="333"/>
        <v>455492528363.92535</v>
      </c>
    </row>
    <row r="610" spans="2:17" s="9" customFormat="1" x14ac:dyDescent="0.25">
      <c r="B610" s="270"/>
      <c r="D610" s="269"/>
      <c r="E610" s="269"/>
      <c r="F610" s="269"/>
      <c r="G610" s="269"/>
      <c r="H610" s="269"/>
      <c r="I610" s="269"/>
      <c r="J610" s="269"/>
      <c r="K610" s="269"/>
      <c r="L610" s="269"/>
      <c r="M610" s="269"/>
      <c r="N610" s="269"/>
      <c r="O610" s="269"/>
      <c r="P610" s="269"/>
      <c r="Q610" s="269"/>
    </row>
    <row r="611" spans="2:17" s="101" customFormat="1" x14ac:dyDescent="0.25">
      <c r="B611" s="271" t="s">
        <v>987</v>
      </c>
      <c r="D611" s="272">
        <f t="shared" ref="D611:Q611" si="334">+D62/D62</f>
        <v>1</v>
      </c>
      <c r="E611" s="272">
        <f t="shared" si="334"/>
        <v>1</v>
      </c>
      <c r="F611" s="272">
        <f t="shared" si="334"/>
        <v>1</v>
      </c>
      <c r="G611" s="272">
        <f t="shared" si="334"/>
        <v>1</v>
      </c>
      <c r="H611" s="272">
        <f t="shared" si="334"/>
        <v>1</v>
      </c>
      <c r="I611" s="272">
        <f t="shared" si="334"/>
        <v>1</v>
      </c>
      <c r="J611" s="272">
        <f t="shared" si="334"/>
        <v>1</v>
      </c>
      <c r="K611" s="272">
        <f t="shared" si="334"/>
        <v>1</v>
      </c>
      <c r="L611" s="272">
        <f t="shared" si="334"/>
        <v>1</v>
      </c>
      <c r="M611" s="272">
        <f t="shared" si="334"/>
        <v>1</v>
      </c>
      <c r="N611" s="272">
        <f t="shared" si="334"/>
        <v>1</v>
      </c>
      <c r="O611" s="272">
        <f t="shared" si="334"/>
        <v>1</v>
      </c>
      <c r="P611" s="272">
        <f t="shared" si="334"/>
        <v>1</v>
      </c>
      <c r="Q611" s="272">
        <f t="shared" si="334"/>
        <v>1</v>
      </c>
    </row>
    <row r="612" spans="2:17" s="101" customFormat="1" x14ac:dyDescent="0.25">
      <c r="B612" s="271" t="s">
        <v>1462</v>
      </c>
      <c r="D612" s="272">
        <f t="shared" ref="D612:Q612" si="335">-D71/D62</f>
        <v>-1.0573197429737109</v>
      </c>
      <c r="E612" s="272">
        <f t="shared" si="335"/>
        <v>-1.0483184022343222</v>
      </c>
      <c r="F612" s="272">
        <f t="shared" si="335"/>
        <v>-1.2458603063660443</v>
      </c>
      <c r="G612" s="272">
        <f t="shared" si="335"/>
        <v>-1.0047402876446143</v>
      </c>
      <c r="H612" s="272">
        <f t="shared" si="335"/>
        <v>-0.99109487708809907</v>
      </c>
      <c r="I612" s="272">
        <f t="shared" si="335"/>
        <v>-0.9250041880831632</v>
      </c>
      <c r="J612" s="272">
        <f t="shared" si="335"/>
        <v>-0.96815009866866231</v>
      </c>
      <c r="K612" s="272">
        <f t="shared" si="335"/>
        <v>-0.95758147992967968</v>
      </c>
      <c r="L612" s="272">
        <f t="shared" si="335"/>
        <v>-0.94543522518509626</v>
      </c>
      <c r="M612" s="272">
        <f t="shared" si="335"/>
        <v>-0.93251158277929125</v>
      </c>
      <c r="N612" s="272">
        <f t="shared" si="335"/>
        <v>-0.92426883440231189</v>
      </c>
      <c r="O612" s="272">
        <f t="shared" si="335"/>
        <v>-0.92234913388164819</v>
      </c>
      <c r="P612" s="272">
        <f t="shared" si="335"/>
        <v>-0.92221547946433435</v>
      </c>
      <c r="Q612" s="272">
        <f t="shared" si="335"/>
        <v>-0.92221547946433435</v>
      </c>
    </row>
    <row r="613" spans="2:17" s="101" customFormat="1" x14ac:dyDescent="0.25">
      <c r="B613" s="271" t="s">
        <v>1463</v>
      </c>
      <c r="D613" s="272">
        <f t="shared" ref="D613:Q613" si="336">-D80/D62</f>
        <v>-5.5047679294952481E-2</v>
      </c>
      <c r="E613" s="272">
        <f t="shared" si="336"/>
        <v>-5.309234501836043E-2</v>
      </c>
      <c r="F613" s="272">
        <f t="shared" si="336"/>
        <v>-3.8564356581435789E-2</v>
      </c>
      <c r="G613" s="272">
        <f t="shared" si="336"/>
        <v>-4.008218298094527E-2</v>
      </c>
      <c r="H613" s="272">
        <f t="shared" si="336"/>
        <v>-4.4724883807774944E-2</v>
      </c>
      <c r="I613" s="272">
        <f t="shared" si="336"/>
        <v>-4.3985785595770224E-2</v>
      </c>
      <c r="J613" s="272">
        <f t="shared" si="336"/>
        <v>-4.4488721336434778E-2</v>
      </c>
      <c r="K613" s="272">
        <f t="shared" si="336"/>
        <v>-4.4668779759769954E-2</v>
      </c>
      <c r="L613" s="272">
        <f t="shared" si="336"/>
        <v>-4.4880139998421595E-2</v>
      </c>
      <c r="M613" s="272">
        <f t="shared" si="336"/>
        <v>-4.5061016367823795E-2</v>
      </c>
      <c r="N613" s="272">
        <f t="shared" si="336"/>
        <v>-4.5270157805100519E-2</v>
      </c>
      <c r="O613" s="272">
        <f t="shared" si="336"/>
        <v>-4.5480305563674134E-2</v>
      </c>
      <c r="P613" s="272">
        <f t="shared" si="336"/>
        <v>-4.5691295270730632E-2</v>
      </c>
      <c r="Q613" s="272">
        <f t="shared" si="336"/>
        <v>-4.7278045183869584E-2</v>
      </c>
    </row>
    <row r="614" spans="2:17" s="101" customFormat="1" x14ac:dyDescent="0.25">
      <c r="B614" s="271" t="s">
        <v>1464</v>
      </c>
      <c r="D614" s="272">
        <f t="shared" ref="D614:Q614" si="337">+D104/D62</f>
        <v>3.0436204037598617E-2</v>
      </c>
      <c r="E614" s="272">
        <f t="shared" si="337"/>
        <v>3.4900062060137481E-2</v>
      </c>
      <c r="F614" s="272">
        <f t="shared" si="337"/>
        <v>1.4705682523895099E-2</v>
      </c>
      <c r="G614" s="272">
        <f t="shared" si="337"/>
        <v>2.7099999999999999E-2</v>
      </c>
      <c r="H614" s="272">
        <f t="shared" si="337"/>
        <v>0.11654072216469771</v>
      </c>
      <c r="I614" s="272">
        <f t="shared" si="337"/>
        <v>4.9574497004016699E-3</v>
      </c>
      <c r="J614" s="272">
        <f t="shared" si="337"/>
        <v>1.5732575697150589E-2</v>
      </c>
      <c r="K614" s="272">
        <f t="shared" si="337"/>
        <v>1.6189262778283694E-2</v>
      </c>
      <c r="L614" s="272">
        <f t="shared" si="337"/>
        <v>1.6444045426027492E-2</v>
      </c>
      <c r="M614" s="272">
        <f t="shared" si="337"/>
        <v>1.273056744769174E-2</v>
      </c>
      <c r="N614" s="272">
        <f t="shared" si="337"/>
        <v>1.2819259053063095E-2</v>
      </c>
      <c r="O614" s="272">
        <f t="shared" si="337"/>
        <v>1.2794390661428219E-2</v>
      </c>
      <c r="P614" s="272">
        <f t="shared" si="337"/>
        <v>1.2774240888071135E-2</v>
      </c>
      <c r="Q614" s="272">
        <f t="shared" si="337"/>
        <v>1.2817572822123481E-2</v>
      </c>
    </row>
    <row r="615" spans="2:17" s="101" customFormat="1" x14ac:dyDescent="0.25">
      <c r="B615" s="271" t="s">
        <v>1465</v>
      </c>
      <c r="D615" s="272">
        <f t="shared" ref="D615:Q615" si="338">-D108/D62</f>
        <v>-9.9100490795659985E-3</v>
      </c>
      <c r="E615" s="272">
        <f t="shared" si="338"/>
        <v>-2.1916611348742041E-2</v>
      </c>
      <c r="F615" s="272">
        <f t="shared" si="338"/>
        <v>-3.748106672122423E-3</v>
      </c>
      <c r="G615" s="272">
        <f t="shared" si="338"/>
        <v>-6.3781831917482101E-3</v>
      </c>
      <c r="H615" s="272">
        <f t="shared" si="338"/>
        <v>-8.8040866947319048E-3</v>
      </c>
      <c r="I615" s="272">
        <f t="shared" si="338"/>
        <v>-2.3043582616384117E-2</v>
      </c>
      <c r="J615" s="272">
        <f t="shared" si="338"/>
        <v>-6.8424566792495154E-3</v>
      </c>
      <c r="K615" s="272">
        <f t="shared" si="338"/>
        <v>-6.7742152513981515E-3</v>
      </c>
      <c r="L615" s="272">
        <f t="shared" si="338"/>
        <v>-6.7279710067211524E-3</v>
      </c>
      <c r="M615" s="272">
        <f t="shared" si="338"/>
        <v>-6.675878456561422E-3</v>
      </c>
      <c r="N615" s="272">
        <f t="shared" si="338"/>
        <v>-6.624677344026747E-3</v>
      </c>
      <c r="O615" s="272">
        <f t="shared" si="338"/>
        <v>-6.5743417644470925E-3</v>
      </c>
      <c r="P615" s="272">
        <f t="shared" si="338"/>
        <v>-6.524846671064316E-3</v>
      </c>
      <c r="Q615" s="272">
        <f t="shared" si="338"/>
        <v>-6.6704528813888494E-3</v>
      </c>
    </row>
    <row r="616" spans="2:17" s="101" customFormat="1" x14ac:dyDescent="0.25">
      <c r="B616" s="271" t="s">
        <v>1466</v>
      </c>
      <c r="D616" s="272">
        <f t="shared" ref="D616:Q616" si="339">-D117/D62</f>
        <v>0</v>
      </c>
      <c r="E616" s="272">
        <f t="shared" si="339"/>
        <v>0</v>
      </c>
      <c r="F616" s="272">
        <f t="shared" si="339"/>
        <v>0</v>
      </c>
      <c r="G616" s="272">
        <f t="shared" si="339"/>
        <v>0</v>
      </c>
      <c r="H616" s="272">
        <f t="shared" si="339"/>
        <v>0</v>
      </c>
      <c r="I616" s="272">
        <f t="shared" si="339"/>
        <v>0</v>
      </c>
      <c r="J616" s="272">
        <f t="shared" si="339"/>
        <v>0</v>
      </c>
      <c r="K616" s="272">
        <f t="shared" si="339"/>
        <v>0</v>
      </c>
      <c r="L616" s="272">
        <f t="shared" si="339"/>
        <v>0</v>
      </c>
      <c r="M616" s="272">
        <f t="shared" si="339"/>
        <v>0</v>
      </c>
      <c r="N616" s="272">
        <f t="shared" si="339"/>
        <v>0</v>
      </c>
      <c r="O616" s="272">
        <f t="shared" si="339"/>
        <v>0</v>
      </c>
      <c r="P616" s="272">
        <f t="shared" si="339"/>
        <v>0</v>
      </c>
      <c r="Q616" s="272">
        <f t="shared" si="339"/>
        <v>0</v>
      </c>
    </row>
    <row r="617" spans="2:17" s="9" customFormat="1" x14ac:dyDescent="0.25">
      <c r="B617" s="270"/>
      <c r="D617" s="269"/>
      <c r="E617" s="269"/>
      <c r="F617" s="269"/>
      <c r="G617" s="269"/>
      <c r="H617" s="269"/>
      <c r="I617" s="269"/>
      <c r="J617" s="269"/>
      <c r="K617" s="269"/>
      <c r="L617" s="269"/>
      <c r="M617" s="269"/>
      <c r="N617" s="269"/>
      <c r="O617" s="269"/>
      <c r="P617" s="269"/>
      <c r="Q617" s="269"/>
    </row>
    <row r="618" spans="2:17" s="9" customFormat="1" x14ac:dyDescent="0.25">
      <c r="B618" s="270" t="s">
        <v>1595</v>
      </c>
      <c r="D618" s="8">
        <f t="shared" ref="D618:Q618" si="340">+D200/D196</f>
        <v>5.5047679294952481E-2</v>
      </c>
      <c r="E618" s="8">
        <f t="shared" si="340"/>
        <v>5.309234501836043E-2</v>
      </c>
      <c r="F618" s="8">
        <f t="shared" si="340"/>
        <v>3.8564356581435789E-2</v>
      </c>
      <c r="G618" s="8">
        <f t="shared" si="340"/>
        <v>4.008218298094527E-2</v>
      </c>
      <c r="H618" s="8">
        <f t="shared" si="340"/>
        <v>4.4724883807774944E-2</v>
      </c>
      <c r="I618" s="8">
        <f t="shared" si="340"/>
        <v>4.3985785595770224E-2</v>
      </c>
      <c r="J618" s="8">
        <f t="shared" si="340"/>
        <v>4.4488721336434778E-2</v>
      </c>
      <c r="K618" s="8">
        <f t="shared" si="340"/>
        <v>4.4668779759769954E-2</v>
      </c>
      <c r="L618" s="8">
        <f t="shared" si="340"/>
        <v>4.4880139998421595E-2</v>
      </c>
      <c r="M618" s="8">
        <f t="shared" si="340"/>
        <v>4.5061016367823795E-2</v>
      </c>
      <c r="N618" s="8">
        <f t="shared" si="340"/>
        <v>4.5270157805100519E-2</v>
      </c>
      <c r="O618" s="8">
        <f t="shared" si="340"/>
        <v>4.5480305563674134E-2</v>
      </c>
      <c r="P618" s="8">
        <f t="shared" si="340"/>
        <v>4.5691295270730632E-2</v>
      </c>
      <c r="Q618" s="8">
        <f t="shared" si="340"/>
        <v>4.7278045183869584E-2</v>
      </c>
    </row>
    <row r="619" spans="2:17" s="9" customFormat="1" x14ac:dyDescent="0.25">
      <c r="B619" s="270"/>
      <c r="D619" s="269"/>
      <c r="E619" s="269"/>
      <c r="F619" s="269"/>
      <c r="G619" s="269"/>
      <c r="H619" s="269"/>
      <c r="I619" s="269"/>
      <c r="J619" s="269"/>
      <c r="K619" s="269"/>
      <c r="L619" s="269"/>
      <c r="M619" s="269"/>
      <c r="N619" s="269"/>
      <c r="O619" s="269"/>
      <c r="P619" s="269"/>
      <c r="Q619" s="269"/>
    </row>
    <row r="620" spans="2:17" s="9" customFormat="1" x14ac:dyDescent="0.25">
      <c r="B620" s="270"/>
      <c r="D620" s="269"/>
      <c r="E620" s="269"/>
      <c r="F620" s="269"/>
      <c r="G620" s="269"/>
      <c r="H620" s="269"/>
      <c r="I620" s="269"/>
      <c r="J620" s="269"/>
      <c r="K620" s="269"/>
      <c r="L620" s="269"/>
      <c r="M620" s="269"/>
      <c r="N620" s="269"/>
      <c r="O620" s="269"/>
      <c r="P620" s="269"/>
      <c r="Q620" s="269"/>
    </row>
    <row r="621" spans="2:17" s="9" customFormat="1" x14ac:dyDescent="0.25">
      <c r="B621" s="270"/>
      <c r="D621" s="269"/>
      <c r="E621" s="269"/>
      <c r="F621" s="269"/>
      <c r="G621" s="269"/>
      <c r="H621" s="269"/>
      <c r="I621" s="269"/>
      <c r="J621" s="269"/>
      <c r="K621" s="269"/>
      <c r="L621" s="269"/>
      <c r="M621" s="269"/>
      <c r="N621" s="269"/>
      <c r="O621" s="269"/>
      <c r="P621" s="269"/>
      <c r="Q621" s="269"/>
    </row>
    <row r="622" spans="2:17" s="101" customFormat="1" x14ac:dyDescent="0.25">
      <c r="B622" s="271" t="s">
        <v>1469</v>
      </c>
      <c r="D622" s="272">
        <f t="shared" ref="D622:Q622" si="341">+D76</f>
        <v>-5.7319742973710924E-2</v>
      </c>
      <c r="E622" s="272">
        <f t="shared" si="341"/>
        <v>-4.8318402234322204E-2</v>
      </c>
      <c r="F622" s="272">
        <f t="shared" si="341"/>
        <v>-0.24586030636604433</v>
      </c>
      <c r="G622" s="272">
        <f t="shared" si="341"/>
        <v>-4.7402876446142632E-3</v>
      </c>
      <c r="H622" s="272">
        <f t="shared" si="341"/>
        <v>8.9051229119008861E-3</v>
      </c>
      <c r="I622" s="272">
        <f t="shared" si="341"/>
        <v>7.4995811916836769E-2</v>
      </c>
      <c r="J622" s="272">
        <f t="shared" si="341"/>
        <v>3.1849901331337693E-2</v>
      </c>
      <c r="K622" s="272">
        <f t="shared" si="341"/>
        <v>4.2418520070320327E-2</v>
      </c>
      <c r="L622" s="272">
        <f t="shared" si="341"/>
        <v>5.4564774814903724E-2</v>
      </c>
      <c r="M622" s="272">
        <f t="shared" si="341"/>
        <v>6.748841722070878E-2</v>
      </c>
      <c r="N622" s="272">
        <f t="shared" si="341"/>
        <v>7.5731165597688138E-2</v>
      </c>
      <c r="O622" s="272">
        <f t="shared" si="341"/>
        <v>7.76508661183518E-2</v>
      </c>
      <c r="P622" s="272">
        <f t="shared" si="341"/>
        <v>7.7784520535665605E-2</v>
      </c>
      <c r="Q622" s="272">
        <f t="shared" si="341"/>
        <v>7.7784520535665674E-2</v>
      </c>
    </row>
    <row r="623" spans="2:17" s="101" customFormat="1" x14ac:dyDescent="0.25">
      <c r="B623" s="271" t="s">
        <v>1468</v>
      </c>
      <c r="D623" s="272">
        <f t="shared" ref="D623:Q623" si="342">+D102</f>
        <v>-0.11236742226866341</v>
      </c>
      <c r="E623" s="272">
        <f t="shared" si="342"/>
        <v>-0.10141074725268263</v>
      </c>
      <c r="F623" s="272">
        <f t="shared" si="342"/>
        <v>-0.28442466294748014</v>
      </c>
      <c r="G623" s="272">
        <f t="shared" si="342"/>
        <v>-4.4822470625559524E-2</v>
      </c>
      <c r="H623" s="272">
        <f t="shared" si="342"/>
        <v>-3.5819760895874062E-2</v>
      </c>
      <c r="I623" s="272">
        <f t="shared" si="342"/>
        <v>3.1010026321066544E-2</v>
      </c>
      <c r="J623" s="272">
        <f t="shared" si="342"/>
        <v>-1.2638820005097083E-2</v>
      </c>
      <c r="K623" s="272">
        <f t="shared" si="342"/>
        <v>-2.2502596894496264E-3</v>
      </c>
      <c r="L623" s="272">
        <f t="shared" si="342"/>
        <v>9.6846348164821329E-3</v>
      </c>
      <c r="M623" s="272">
        <f t="shared" si="342"/>
        <v>2.2427400852884992E-2</v>
      </c>
      <c r="N623" s="272">
        <f t="shared" si="342"/>
        <v>3.0461007792587626E-2</v>
      </c>
      <c r="O623" s="272">
        <f t="shared" si="342"/>
        <v>3.2170560554677673E-2</v>
      </c>
      <c r="P623" s="272">
        <f t="shared" si="342"/>
        <v>3.2093225264934973E-2</v>
      </c>
      <c r="Q623" s="272">
        <f t="shared" si="342"/>
        <v>3.0506475351796094E-2</v>
      </c>
    </row>
    <row r="624" spans="2:17" s="101" customFormat="1" x14ac:dyDescent="0.25">
      <c r="B624" s="271" t="s">
        <v>1467</v>
      </c>
      <c r="D624" s="272">
        <f t="shared" ref="D624:Q624" si="343">+D115</f>
        <v>-9.1841267310630789E-2</v>
      </c>
      <c r="E624" s="272">
        <f t="shared" si="343"/>
        <v>-8.8427296541287198E-2</v>
      </c>
      <c r="F624" s="272">
        <f t="shared" si="343"/>
        <v>-0.27346708709570744</v>
      </c>
      <c r="G624" s="272">
        <f t="shared" si="343"/>
        <v>-2.4100653817307735E-2</v>
      </c>
      <c r="H624" s="272">
        <f t="shared" si="343"/>
        <v>7.1916874574091752E-2</v>
      </c>
      <c r="I624" s="272">
        <f t="shared" si="343"/>
        <v>1.2923893405084095E-2</v>
      </c>
      <c r="J624" s="272">
        <f t="shared" si="343"/>
        <v>-3.7487009871960079E-3</v>
      </c>
      <c r="K624" s="272">
        <f t="shared" si="343"/>
        <v>7.1647878374359146E-3</v>
      </c>
      <c r="L624" s="272">
        <f t="shared" si="343"/>
        <v>1.9400709235788471E-2</v>
      </c>
      <c r="M624" s="272">
        <f t="shared" si="343"/>
        <v>2.8482089844015311E-2</v>
      </c>
      <c r="N624" s="272">
        <f t="shared" si="343"/>
        <v>3.6655589501623974E-2</v>
      </c>
      <c r="O624" s="272">
        <f t="shared" si="343"/>
        <v>3.8390609451658807E-2</v>
      </c>
      <c r="P624" s="272">
        <f t="shared" si="343"/>
        <v>3.8342619481941793E-2</v>
      </c>
      <c r="Q624" s="272">
        <f t="shared" si="343"/>
        <v>3.6653595292530726E-2</v>
      </c>
    </row>
    <row r="625" spans="2:17" s="101" customFormat="1" x14ac:dyDescent="0.25">
      <c r="B625" s="271" t="s">
        <v>1470</v>
      </c>
      <c r="D625" s="272">
        <f t="shared" ref="D625:Q625" si="344">+D120</f>
        <v>-9.1841267310630789E-2</v>
      </c>
      <c r="E625" s="272">
        <f t="shared" si="344"/>
        <v>-8.8427296541287198E-2</v>
      </c>
      <c r="F625" s="272">
        <f t="shared" si="344"/>
        <v>-0.27346708709570744</v>
      </c>
      <c r="G625" s="272">
        <f t="shared" si="344"/>
        <v>-2.4100653817307735E-2</v>
      </c>
      <c r="H625" s="272">
        <f t="shared" si="344"/>
        <v>7.1916874574091752E-2</v>
      </c>
      <c r="I625" s="272">
        <f t="shared" si="344"/>
        <v>1.2923893405084095E-2</v>
      </c>
      <c r="J625" s="272">
        <f t="shared" si="344"/>
        <v>-3.7487009871960079E-3</v>
      </c>
      <c r="K625" s="272">
        <f t="shared" si="344"/>
        <v>7.1647878374359146E-3</v>
      </c>
      <c r="L625" s="272">
        <f t="shared" si="344"/>
        <v>1.9400709235788471E-2</v>
      </c>
      <c r="M625" s="272">
        <f t="shared" si="344"/>
        <v>2.8482089844015311E-2</v>
      </c>
      <c r="N625" s="272">
        <f t="shared" si="344"/>
        <v>3.6655589501623974E-2</v>
      </c>
      <c r="O625" s="272">
        <f t="shared" si="344"/>
        <v>3.8390609451658807E-2</v>
      </c>
      <c r="P625" s="272">
        <f t="shared" si="344"/>
        <v>3.8342619481941793E-2</v>
      </c>
      <c r="Q625" s="272">
        <f t="shared" si="344"/>
        <v>3.6653595292530726E-2</v>
      </c>
    </row>
    <row r="626" spans="2:17" s="9" customFormat="1" x14ac:dyDescent="0.25">
      <c r="B626" s="270"/>
      <c r="D626" s="269"/>
      <c r="E626" s="269"/>
      <c r="F626" s="269"/>
      <c r="G626" s="269"/>
      <c r="H626" s="269"/>
      <c r="I626" s="269"/>
      <c r="J626" s="269"/>
      <c r="K626" s="269"/>
      <c r="L626" s="269"/>
      <c r="M626" s="269"/>
      <c r="N626" s="269"/>
      <c r="O626" s="269"/>
      <c r="P626" s="269"/>
      <c r="Q626" s="269"/>
    </row>
    <row r="627" spans="2:17" s="9" customFormat="1" x14ac:dyDescent="0.25">
      <c r="B627" s="270"/>
      <c r="D627" s="269"/>
      <c r="E627" s="8"/>
      <c r="F627" s="351"/>
      <c r="G627" s="269"/>
      <c r="H627" s="269"/>
      <c r="I627" s="269"/>
      <c r="J627" s="269"/>
      <c r="K627" s="269"/>
      <c r="L627" s="269"/>
      <c r="M627" s="269"/>
      <c r="N627" s="269"/>
      <c r="O627" s="269"/>
      <c r="P627" s="269"/>
      <c r="Q627" s="269"/>
    </row>
    <row r="628" spans="2:17" s="9" customFormat="1" x14ac:dyDescent="0.25">
      <c r="B628" s="130"/>
    </row>
    <row r="629" spans="2:17" s="9" customFormat="1" x14ac:dyDescent="0.25"/>
    <row r="630" spans="2:17" s="9" customFormat="1" x14ac:dyDescent="0.25"/>
    <row r="631" spans="2:17" s="9" customFormat="1" x14ac:dyDescent="0.25"/>
    <row r="632" spans="2:17" s="9" customFormat="1" x14ac:dyDescent="0.25"/>
    <row r="633" spans="2:17" s="9" customFormat="1" x14ac:dyDescent="0.25"/>
    <row r="634" spans="2:17" s="9" customFormat="1" x14ac:dyDescent="0.25"/>
    <row r="635" spans="2:17" s="9" customFormat="1" x14ac:dyDescent="0.25"/>
    <row r="636" spans="2:17" s="9" customFormat="1" x14ac:dyDescent="0.25"/>
    <row r="637" spans="2:17" s="9" customFormat="1" x14ac:dyDescent="0.25"/>
    <row r="638" spans="2:17" s="9" customFormat="1" x14ac:dyDescent="0.25"/>
    <row r="639" spans="2:17" s="9" customFormat="1" x14ac:dyDescent="0.25"/>
    <row r="640" spans="2:17" s="9" customFormat="1" x14ac:dyDescent="0.25"/>
    <row r="641" s="9" customFormat="1" x14ac:dyDescent="0.25"/>
    <row r="642" s="9" customFormat="1" x14ac:dyDescent="0.25"/>
    <row r="643" s="9" customFormat="1" x14ac:dyDescent="0.25"/>
    <row r="644" s="9" customFormat="1" x14ac:dyDescent="0.25"/>
    <row r="645" s="9" customFormat="1" x14ac:dyDescent="0.25"/>
    <row r="646" s="9" customFormat="1" x14ac:dyDescent="0.25"/>
    <row r="647" s="9" customFormat="1" x14ac:dyDescent="0.25"/>
    <row r="648" s="9" customFormat="1" x14ac:dyDescent="0.25"/>
    <row r="649" s="9" customFormat="1" x14ac:dyDescent="0.25"/>
    <row r="650" s="9" customFormat="1" x14ac:dyDescent="0.25"/>
    <row r="651" s="9" customFormat="1" x14ac:dyDescent="0.25"/>
    <row r="652" s="9" customFormat="1" x14ac:dyDescent="0.25"/>
    <row r="653" s="9" customFormat="1" x14ac:dyDescent="0.25"/>
    <row r="654" s="9" customFormat="1" x14ac:dyDescent="0.25"/>
    <row r="655" s="9" customFormat="1" x14ac:dyDescent="0.25"/>
    <row r="656" s="9" customFormat="1" x14ac:dyDescent="0.25"/>
    <row r="657" s="9" customFormat="1" x14ac:dyDescent="0.25"/>
    <row r="658" s="9" customFormat="1" x14ac:dyDescent="0.25"/>
    <row r="659" s="9" customFormat="1" x14ac:dyDescent="0.25"/>
    <row r="660" s="9" customFormat="1" x14ac:dyDescent="0.25"/>
    <row r="661" s="9" customFormat="1" x14ac:dyDescent="0.25"/>
    <row r="662" s="9" customFormat="1" x14ac:dyDescent="0.25"/>
    <row r="663" s="9" customFormat="1" x14ac:dyDescent="0.25"/>
    <row r="664" s="9" customFormat="1" x14ac:dyDescent="0.25"/>
    <row r="665" s="9" customFormat="1" x14ac:dyDescent="0.25"/>
    <row r="666" s="9" customFormat="1" x14ac:dyDescent="0.25"/>
    <row r="667" s="9" customFormat="1" x14ac:dyDescent="0.25"/>
    <row r="668" s="9" customFormat="1" x14ac:dyDescent="0.25"/>
    <row r="669" s="9" customFormat="1" x14ac:dyDescent="0.25"/>
    <row r="670" s="9" customFormat="1" x14ac:dyDescent="0.25"/>
    <row r="671" s="9" customFormat="1" x14ac:dyDescent="0.25"/>
    <row r="672" s="9" customFormat="1" x14ac:dyDescent="0.25"/>
    <row r="673" s="9" customFormat="1" x14ac:dyDescent="0.25"/>
    <row r="674" s="9" customFormat="1" x14ac:dyDescent="0.25"/>
    <row r="675" s="9" customFormat="1" x14ac:dyDescent="0.25"/>
    <row r="676" s="9" customFormat="1" x14ac:dyDescent="0.25"/>
    <row r="677" s="9" customFormat="1" x14ac:dyDescent="0.25"/>
    <row r="678" s="9" customFormat="1" x14ac:dyDescent="0.25"/>
    <row r="679" s="9" customFormat="1" x14ac:dyDescent="0.25"/>
    <row r="680" s="9" customFormat="1" x14ac:dyDescent="0.25"/>
    <row r="681" s="9" customFormat="1" x14ac:dyDescent="0.25"/>
    <row r="682" s="9" customFormat="1" x14ac:dyDescent="0.25"/>
    <row r="683" s="9" customFormat="1" x14ac:dyDescent="0.25"/>
    <row r="684" s="9" customFormat="1" x14ac:dyDescent="0.25"/>
    <row r="685" s="9" customFormat="1" x14ac:dyDescent="0.25"/>
    <row r="686" s="9" customFormat="1" x14ac:dyDescent="0.25"/>
    <row r="687" s="9" customFormat="1" x14ac:dyDescent="0.25"/>
    <row r="688" s="9" customFormat="1" x14ac:dyDescent="0.25"/>
    <row r="689" s="9" customFormat="1" x14ac:dyDescent="0.25"/>
    <row r="690" s="9" customFormat="1" x14ac:dyDescent="0.25"/>
    <row r="691" s="9" customFormat="1" x14ac:dyDescent="0.25"/>
    <row r="692" s="9" customFormat="1" x14ac:dyDescent="0.25"/>
    <row r="693" s="9" customFormat="1" x14ac:dyDescent="0.25"/>
    <row r="694" s="9" customFormat="1" x14ac:dyDescent="0.25"/>
    <row r="695" s="9" customFormat="1" x14ac:dyDescent="0.25"/>
    <row r="696" s="9" customFormat="1" x14ac:dyDescent="0.25"/>
    <row r="697" s="9" customFormat="1" x14ac:dyDescent="0.25"/>
    <row r="698" s="9" customFormat="1" x14ac:dyDescent="0.25"/>
    <row r="699" s="9" customFormat="1" x14ac:dyDescent="0.25"/>
    <row r="700" s="9" customFormat="1" x14ac:dyDescent="0.25"/>
    <row r="701" s="9" customFormat="1" x14ac:dyDescent="0.25"/>
    <row r="702" s="9" customFormat="1" x14ac:dyDescent="0.25"/>
    <row r="703" s="9" customFormat="1" x14ac:dyDescent="0.25"/>
    <row r="704" s="9" customFormat="1" x14ac:dyDescent="0.25"/>
    <row r="705" s="9" customFormat="1" x14ac:dyDescent="0.25"/>
    <row r="706" s="9" customFormat="1" x14ac:dyDescent="0.25"/>
    <row r="707" s="9" customFormat="1" x14ac:dyDescent="0.25"/>
    <row r="708" s="9" customFormat="1" x14ac:dyDescent="0.25"/>
    <row r="709" s="9" customFormat="1" x14ac:dyDescent="0.25"/>
    <row r="710" s="9" customFormat="1" x14ac:dyDescent="0.25"/>
    <row r="711" s="9" customFormat="1" x14ac:dyDescent="0.25"/>
    <row r="712" s="9" customFormat="1" x14ac:dyDescent="0.25"/>
    <row r="713" s="9" customFormat="1" x14ac:dyDescent="0.25"/>
    <row r="714" s="9" customFormat="1" x14ac:dyDescent="0.25"/>
    <row r="715" s="9" customFormat="1" x14ac:dyDescent="0.25"/>
    <row r="716" s="9" customFormat="1" x14ac:dyDescent="0.25"/>
    <row r="717" s="9" customFormat="1" x14ac:dyDescent="0.25"/>
    <row r="718" s="9" customFormat="1" x14ac:dyDescent="0.25"/>
    <row r="719" s="9" customFormat="1" x14ac:dyDescent="0.25"/>
    <row r="720" s="9" customFormat="1" x14ac:dyDescent="0.25"/>
    <row r="721" spans="2:17" s="16" customFormat="1" x14ac:dyDescent="0.25">
      <c r="B721" s="17" t="s">
        <v>1343</v>
      </c>
      <c r="C721" s="17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</row>
    <row r="722" spans="2:17" s="9" customFormat="1" x14ac:dyDescent="0.25"/>
    <row r="723" spans="2:17" s="9" customFormat="1" x14ac:dyDescent="0.25">
      <c r="F723" s="250" t="str">
        <f t="shared" ref="F723:Q723" si="345">+F6</f>
        <v>2017</v>
      </c>
      <c r="G723" s="250" t="str">
        <f t="shared" si="345"/>
        <v xml:space="preserve">2018 </v>
      </c>
      <c r="H723" s="250" t="str">
        <f t="shared" si="345"/>
        <v xml:space="preserve">2019 </v>
      </c>
      <c r="I723" s="250" t="str">
        <f t="shared" si="345"/>
        <v>2020 P</v>
      </c>
      <c r="J723" s="250" t="str">
        <f t="shared" si="345"/>
        <v>2021 P</v>
      </c>
      <c r="K723" s="250" t="str">
        <f t="shared" si="345"/>
        <v>2022 P</v>
      </c>
      <c r="L723" s="250" t="str">
        <f t="shared" si="345"/>
        <v>2023 P</v>
      </c>
      <c r="M723" s="250" t="str">
        <f t="shared" si="345"/>
        <v>2024 P</v>
      </c>
      <c r="N723" s="250" t="str">
        <f t="shared" si="345"/>
        <v>2025 P</v>
      </c>
      <c r="O723" s="250" t="str">
        <f t="shared" si="345"/>
        <v>2026 P</v>
      </c>
      <c r="P723" s="250" t="str">
        <f t="shared" si="345"/>
        <v>2027 P</v>
      </c>
      <c r="Q723" s="250" t="str">
        <f t="shared" si="345"/>
        <v>2028 P</v>
      </c>
    </row>
    <row r="724" spans="2:17" s="9" customFormat="1" x14ac:dyDescent="0.25">
      <c r="B724" s="9" t="s">
        <v>1344</v>
      </c>
      <c r="C724" s="9" t="s">
        <v>1374</v>
      </c>
      <c r="F724" s="1">
        <f t="shared" ref="F724:Q724" si="346">+F335</f>
        <v>1692712.85</v>
      </c>
      <c r="G724" s="1">
        <f t="shared" si="346"/>
        <v>1705275.4461735599</v>
      </c>
      <c r="H724" s="1">
        <f t="shared" si="346"/>
        <v>1666224</v>
      </c>
      <c r="I724" s="1">
        <f t="shared" si="346"/>
        <v>1697716.8329999999</v>
      </c>
      <c r="J724" s="1">
        <f t="shared" si="346"/>
        <v>1695484.1071649997</v>
      </c>
      <c r="K724" s="1">
        <f t="shared" si="346"/>
        <v>1713691.2177008246</v>
      </c>
      <c r="L724" s="1">
        <f t="shared" si="346"/>
        <v>1731938.3637893286</v>
      </c>
      <c r="M724" s="1">
        <f t="shared" si="346"/>
        <v>1740598.0556082751</v>
      </c>
      <c r="N724" s="1">
        <f t="shared" si="346"/>
        <v>1749301.0458863161</v>
      </c>
      <c r="O724" s="1">
        <f t="shared" si="346"/>
        <v>1758047.5511157475</v>
      </c>
      <c r="P724" s="1">
        <f t="shared" si="346"/>
        <v>1766837.788871326</v>
      </c>
      <c r="Q724" s="1">
        <f t="shared" si="346"/>
        <v>1775671.9778156825</v>
      </c>
    </row>
    <row r="725" spans="2:17" s="9" customFormat="1" x14ac:dyDescent="0.25">
      <c r="B725" s="9" t="s">
        <v>1345</v>
      </c>
      <c r="C725" s="9" t="s">
        <v>5</v>
      </c>
      <c r="F725" s="1">
        <f t="shared" ref="F725:Q725" si="347">+(F290+F291)/F724</f>
        <v>808453.67999717139</v>
      </c>
      <c r="G725" s="1">
        <f t="shared" si="347"/>
        <v>894602.1027999561</v>
      </c>
      <c r="H725" s="1">
        <f t="shared" si="347"/>
        <v>986716.96967694617</v>
      </c>
      <c r="I725" s="1">
        <f t="shared" si="347"/>
        <v>1041896.460247784</v>
      </c>
      <c r="J725" s="1">
        <f t="shared" si="347"/>
        <v>1079939.3862791373</v>
      </c>
      <c r="K725" s="1">
        <f t="shared" si="347"/>
        <v>1106022.1362431229</v>
      </c>
      <c r="L725" s="1">
        <f t="shared" si="347"/>
        <v>1132836.5283070828</v>
      </c>
      <c r="M725" s="1">
        <f t="shared" si="347"/>
        <v>1166821.6241562953</v>
      </c>
      <c r="N725" s="1">
        <f t="shared" si="347"/>
        <v>1201826.2728809845</v>
      </c>
      <c r="O725" s="1">
        <f t="shared" si="347"/>
        <v>1237881.0610674138</v>
      </c>
      <c r="P725" s="1">
        <f t="shared" si="347"/>
        <v>1275017.4928994363</v>
      </c>
      <c r="Q725" s="1">
        <f t="shared" si="347"/>
        <v>1275017.4928994363</v>
      </c>
    </row>
    <row r="726" spans="2:17" s="9" customFormat="1" x14ac:dyDescent="0.25">
      <c r="B726" s="9" t="s">
        <v>1373</v>
      </c>
      <c r="C726" s="9" t="s">
        <v>5</v>
      </c>
      <c r="F726" s="1">
        <f t="shared" ref="F726:Q726" si="348">+F289/F724</f>
        <v>853313.97162135318</v>
      </c>
      <c r="G726" s="1">
        <f t="shared" si="348"/>
        <v>944242.68482977967</v>
      </c>
      <c r="H726" s="1">
        <f t="shared" si="348"/>
        <v>1041468.9141673117</v>
      </c>
      <c r="I726" s="1">
        <f t="shared" si="348"/>
        <v>1099710.259857283</v>
      </c>
      <c r="J726" s="1">
        <f t="shared" si="348"/>
        <v>1129582.5398118696</v>
      </c>
      <c r="K726" s="1">
        <f t="shared" si="348"/>
        <v>1156864.2736979797</v>
      </c>
      <c r="L726" s="1">
        <f t="shared" si="348"/>
        <v>1184911.2821467395</v>
      </c>
      <c r="M726" s="1">
        <f t="shared" si="348"/>
        <v>1220458.6206111414</v>
      </c>
      <c r="N726" s="1">
        <f t="shared" si="348"/>
        <v>1257072.379229476</v>
      </c>
      <c r="O726" s="1">
        <f t="shared" si="348"/>
        <v>1294784.5506063602</v>
      </c>
      <c r="P726" s="1">
        <f t="shared" si="348"/>
        <v>1333628.0871245509</v>
      </c>
      <c r="Q726" s="1">
        <f t="shared" si="348"/>
        <v>1333628.0871245512</v>
      </c>
    </row>
    <row r="727" spans="2:17" s="9" customFormat="1" x14ac:dyDescent="0.25"/>
    <row r="728" spans="2:17" s="9" customFormat="1" x14ac:dyDescent="0.25"/>
    <row r="729" spans="2:17" s="9" customFormat="1" x14ac:dyDescent="0.25"/>
    <row r="730" spans="2:17" s="9" customFormat="1" x14ac:dyDescent="0.25"/>
    <row r="731" spans="2:17" s="9" customFormat="1" x14ac:dyDescent="0.25"/>
    <row r="732" spans="2:17" s="9" customFormat="1" x14ac:dyDescent="0.25"/>
    <row r="733" spans="2:17" s="9" customFormat="1" x14ac:dyDescent="0.25"/>
    <row r="734" spans="2:17" s="9" customFormat="1" x14ac:dyDescent="0.25"/>
    <row r="735" spans="2:17" s="9" customFormat="1" x14ac:dyDescent="0.25"/>
    <row r="736" spans="2:17" s="9" customFormat="1" x14ac:dyDescent="0.25"/>
    <row r="737" spans="2:17" s="9" customFormat="1" x14ac:dyDescent="0.25"/>
    <row r="738" spans="2:17" s="9" customFormat="1" x14ac:dyDescent="0.25"/>
    <row r="739" spans="2:17" s="9" customFormat="1" x14ac:dyDescent="0.25"/>
    <row r="740" spans="2:17" s="9" customFormat="1" x14ac:dyDescent="0.25"/>
    <row r="741" spans="2:17" s="9" customFormat="1" x14ac:dyDescent="0.25"/>
    <row r="742" spans="2:17" s="9" customFormat="1" x14ac:dyDescent="0.25"/>
    <row r="743" spans="2:17" s="9" customFormat="1" x14ac:dyDescent="0.25"/>
    <row r="744" spans="2:17" s="9" customFormat="1" x14ac:dyDescent="0.25">
      <c r="B744" s="9" t="s">
        <v>1376</v>
      </c>
      <c r="G744" s="9">
        <f t="shared" ref="G744:Q744" si="349">+G62</f>
        <v>1598417557712.9558</v>
      </c>
      <c r="H744" s="9">
        <f t="shared" si="349"/>
        <v>1722793689557.3555</v>
      </c>
      <c r="I744" s="9">
        <f t="shared" si="349"/>
        <v>1850961563141.3853</v>
      </c>
      <c r="J744" s="9">
        <f t="shared" si="349"/>
        <v>1915256134210.1724</v>
      </c>
      <c r="K744" s="9">
        <f t="shared" si="349"/>
        <v>1986740654434.0669</v>
      </c>
      <c r="L744" s="9">
        <f t="shared" si="349"/>
        <v>2054522395130.1873</v>
      </c>
      <c r="M744" s="9">
        <f t="shared" si="349"/>
        <v>2126738857319.0132</v>
      </c>
      <c r="N744" s="9">
        <f t="shared" si="349"/>
        <v>2201493728153.7759</v>
      </c>
      <c r="O744" s="9">
        <f t="shared" si="349"/>
        <v>2278876232698.3809</v>
      </c>
      <c r="P744" s="9">
        <f t="shared" si="349"/>
        <v>2358978732277.729</v>
      </c>
      <c r="Q744" s="9">
        <f t="shared" si="349"/>
        <v>2370773625939.1177</v>
      </c>
    </row>
    <row r="745" spans="2:17" s="9" customFormat="1" x14ac:dyDescent="0.25">
      <c r="B745" s="9" t="s">
        <v>1375</v>
      </c>
      <c r="G745" s="9">
        <f t="shared" ref="G745:Q745" si="350">+G71</f>
        <v>1605994516712.717</v>
      </c>
      <c r="H745" s="9">
        <f t="shared" si="350"/>
        <v>1707452000000</v>
      </c>
      <c r="I745" s="9">
        <f t="shared" si="350"/>
        <v>1712147197886.7397</v>
      </c>
      <c r="J745" s="9">
        <f t="shared" si="350"/>
        <v>1854255415311.3391</v>
      </c>
      <c r="K745" s="9">
        <f t="shared" si="350"/>
        <v>1902466056109.4341</v>
      </c>
      <c r="L745" s="9">
        <f t="shared" si="350"/>
        <v>1942417843287.7319</v>
      </c>
      <c r="M745" s="9">
        <f t="shared" si="350"/>
        <v>1983208617996.7742</v>
      </c>
      <c r="N745" s="9">
        <f t="shared" si="350"/>
        <v>2034772042064.6904</v>
      </c>
      <c r="O745" s="9">
        <f t="shared" si="350"/>
        <v>2101919519452.825</v>
      </c>
      <c r="P745" s="9">
        <f t="shared" si="350"/>
        <v>2175486702633.6736</v>
      </c>
      <c r="Q745" s="9">
        <f t="shared" si="350"/>
        <v>2186364136146.8418</v>
      </c>
    </row>
    <row r="746" spans="2:17" s="9" customFormat="1" x14ac:dyDescent="0.25">
      <c r="B746" s="9" t="s">
        <v>1457</v>
      </c>
      <c r="G746" s="9">
        <f>+G744/G$274</f>
        <v>1598417557712.9558</v>
      </c>
      <c r="H746" s="9">
        <f t="shared" ref="H746:Q746" si="351">+H744/H$274</f>
        <v>1664534965755.8992</v>
      </c>
      <c r="I746" s="9">
        <f t="shared" si="351"/>
        <v>1727892425159.4067</v>
      </c>
      <c r="J746" s="9">
        <f t="shared" si="351"/>
        <v>1696955291597.938</v>
      </c>
      <c r="K746" s="9">
        <f t="shared" si="351"/>
        <v>1692588469357.032</v>
      </c>
      <c r="L746" s="9">
        <f t="shared" si="351"/>
        <v>1699353984174.5693</v>
      </c>
      <c r="M746" s="9">
        <f t="shared" si="351"/>
        <v>1707850754095.4421</v>
      </c>
      <c r="N746" s="9">
        <f t="shared" si="351"/>
        <v>1716390007865.9187</v>
      </c>
      <c r="O746" s="9">
        <f t="shared" si="351"/>
        <v>1724971957905.248</v>
      </c>
      <c r="P746" s="9">
        <f t="shared" si="351"/>
        <v>1733596817694.7742</v>
      </c>
      <c r="Q746" s="9">
        <f t="shared" si="351"/>
        <v>1691519225032.2795</v>
      </c>
    </row>
    <row r="747" spans="2:17" s="9" customFormat="1" x14ac:dyDescent="0.25">
      <c r="B747" s="9" t="s">
        <v>1458</v>
      </c>
      <c r="G747" s="9">
        <f>+G745/G$274</f>
        <v>1605994516712.717</v>
      </c>
      <c r="H747" s="9">
        <f t="shared" ref="H747:Q747" si="352">+H745/H$274</f>
        <v>1649712077294.686</v>
      </c>
      <c r="I747" s="9">
        <f t="shared" si="352"/>
        <v>1598307729829.625</v>
      </c>
      <c r="J747" s="9">
        <f t="shared" si="352"/>
        <v>1642907432996.8523</v>
      </c>
      <c r="K747" s="9">
        <f t="shared" si="352"/>
        <v>1620791371398.8179</v>
      </c>
      <c r="L747" s="9">
        <f t="shared" si="352"/>
        <v>1606629116697.2747</v>
      </c>
      <c r="M747" s="9">
        <f t="shared" si="352"/>
        <v>1592590609852.3467</v>
      </c>
      <c r="N747" s="9">
        <f t="shared" si="352"/>
        <v>1586405791950.0076</v>
      </c>
      <c r="O747" s="9">
        <f t="shared" si="352"/>
        <v>1591026391344.0364</v>
      </c>
      <c r="P747" s="9">
        <f t="shared" si="352"/>
        <v>1598749820428.2305</v>
      </c>
      <c r="Q747" s="9">
        <f t="shared" si="352"/>
        <v>1559945213136.283</v>
      </c>
    </row>
    <row r="748" spans="2:17" x14ac:dyDescent="0.25"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</row>
    <row r="749" spans="2:17" x14ac:dyDescent="0.25"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</row>
    <row r="750" spans="2:17" x14ac:dyDescent="0.25"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</row>
    <row r="751" spans="2:17" x14ac:dyDescent="0.25"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</row>
    <row r="752" spans="2:17" x14ac:dyDescent="0.25"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</row>
    <row r="753" spans="2:17" x14ac:dyDescent="0.25"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</row>
    <row r="754" spans="2:17" x14ac:dyDescent="0.25"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</row>
    <row r="755" spans="2:17" x14ac:dyDescent="0.25"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</row>
    <row r="756" spans="2:17" x14ac:dyDescent="0.25"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</row>
    <row r="757" spans="2:17" x14ac:dyDescent="0.25"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</row>
    <row r="758" spans="2:17" x14ac:dyDescent="0.25"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</row>
    <row r="759" spans="2:17" x14ac:dyDescent="0.25"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</row>
    <row r="760" spans="2:17" x14ac:dyDescent="0.25"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</row>
    <row r="761" spans="2:17" x14ac:dyDescent="0.25"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</row>
    <row r="762" spans="2:17" x14ac:dyDescent="0.25"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</row>
    <row r="763" spans="2:17" x14ac:dyDescent="0.25"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</row>
    <row r="764" spans="2:17" x14ac:dyDescent="0.25"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</row>
    <row r="765" spans="2:17" hidden="1" x14ac:dyDescent="0.25">
      <c r="C765" s="265" t="s">
        <v>1324</v>
      </c>
      <c r="D765" s="266" t="s">
        <v>1325</v>
      </c>
      <c r="E765" s="267" t="s">
        <v>1517</v>
      </c>
      <c r="F765" s="266" t="s">
        <v>1448</v>
      </c>
      <c r="G765" s="266" t="s">
        <v>1519</v>
      </c>
      <c r="H765" s="266" t="s">
        <v>1358</v>
      </c>
      <c r="I765" s="266" t="s">
        <v>1518</v>
      </c>
      <c r="J765" s="266" t="s">
        <v>35</v>
      </c>
      <c r="K765" s="266" t="s">
        <v>1520</v>
      </c>
      <c r="L765" s="9"/>
      <c r="M765" s="9"/>
      <c r="N765" s="9"/>
      <c r="O765" s="9"/>
      <c r="P765" s="9"/>
      <c r="Q765" s="9"/>
    </row>
    <row r="766" spans="2:17" s="9" customFormat="1" hidden="1" x14ac:dyDescent="0.25">
      <c r="B766" s="267" t="s">
        <v>1443</v>
      </c>
      <c r="D766" s="9">
        <f>+C767</f>
        <v>467694440824.17377</v>
      </c>
      <c r="F766" s="9">
        <f>IF(E769&gt;0,E769-F770,E769)</f>
        <v>338572248970.29053</v>
      </c>
      <c r="H766" s="9">
        <f>+G771</f>
        <v>338572248970.29053</v>
      </c>
      <c r="J766" s="9">
        <f>+I773</f>
        <v>338572248970.29053</v>
      </c>
    </row>
    <row r="767" spans="2:17" s="9" customFormat="1" hidden="1" x14ac:dyDescent="0.25">
      <c r="B767" s="267" t="s">
        <v>1324</v>
      </c>
      <c r="C767" s="9">
        <f>+$G$167</f>
        <v>467694440824.17377</v>
      </c>
    </row>
    <row r="768" spans="2:17" s="9" customFormat="1" hidden="1" x14ac:dyDescent="0.25">
      <c r="B768" s="267" t="s">
        <v>1325</v>
      </c>
      <c r="D768" s="9">
        <f>+$G$168</f>
        <v>109662281352.4084</v>
      </c>
    </row>
    <row r="769" spans="2:17" s="9" customFormat="1" hidden="1" x14ac:dyDescent="0.25">
      <c r="B769" s="267" t="s">
        <v>1517</v>
      </c>
      <c r="E769" s="9">
        <f>+D768+C767</f>
        <v>577356722176.58215</v>
      </c>
    </row>
    <row r="770" spans="2:17" s="9" customFormat="1" hidden="1" x14ac:dyDescent="0.25">
      <c r="B770" s="267" t="s">
        <v>1444</v>
      </c>
      <c r="F770" s="9">
        <f>IF(E769&gt;0,-$G$174,G174)</f>
        <v>238784473206.29163</v>
      </c>
    </row>
    <row r="771" spans="2:17" s="9" customFormat="1" hidden="1" x14ac:dyDescent="0.25">
      <c r="B771" s="267" t="s">
        <v>1445</v>
      </c>
      <c r="G771" s="9">
        <f>IF(E769&gt;0,E769-F770,F770+E769)</f>
        <v>338572248970.29053</v>
      </c>
    </row>
    <row r="772" spans="2:17" s="9" customFormat="1" hidden="1" x14ac:dyDescent="0.25">
      <c r="B772" s="267" t="s">
        <v>1358</v>
      </c>
      <c r="H772" s="9">
        <f>+$G$184</f>
        <v>0</v>
      </c>
    </row>
    <row r="773" spans="2:17" s="9" customFormat="1" hidden="1" x14ac:dyDescent="0.25">
      <c r="B773" s="267" t="s">
        <v>1446</v>
      </c>
      <c r="I773" s="9">
        <f>+H772+G771</f>
        <v>338572248970.29053</v>
      </c>
    </row>
    <row r="774" spans="2:17" s="9" customFormat="1" hidden="1" x14ac:dyDescent="0.25">
      <c r="B774" s="267" t="s">
        <v>35</v>
      </c>
      <c r="J774" s="9">
        <f>+G187</f>
        <v>0</v>
      </c>
    </row>
    <row r="775" spans="2:17" s="9" customFormat="1" hidden="1" x14ac:dyDescent="0.25">
      <c r="B775" s="267" t="s">
        <v>1447</v>
      </c>
      <c r="K775" s="9">
        <f>+J774+I773</f>
        <v>338572248970.29053</v>
      </c>
    </row>
    <row r="776" spans="2:17" x14ac:dyDescent="0.25"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</row>
    <row r="826" spans="2:17" hidden="1" x14ac:dyDescent="0.25">
      <c r="C826" s="265" t="s">
        <v>1324</v>
      </c>
      <c r="D826" s="266" t="s">
        <v>1325</v>
      </c>
      <c r="E826" s="267" t="s">
        <v>1517</v>
      </c>
      <c r="F826" s="266" t="s">
        <v>1448</v>
      </c>
      <c r="G826" s="266" t="s">
        <v>1519</v>
      </c>
      <c r="H826" s="266" t="s">
        <v>1358</v>
      </c>
      <c r="I826" s="266" t="s">
        <v>1518</v>
      </c>
      <c r="J826" s="266" t="s">
        <v>35</v>
      </c>
      <c r="K826" s="266" t="s">
        <v>1520</v>
      </c>
      <c r="L826" s="9"/>
      <c r="M826" s="9"/>
      <c r="N826" s="9"/>
      <c r="O826" s="9"/>
      <c r="P826" s="9"/>
      <c r="Q826" s="9"/>
    </row>
    <row r="827" spans="2:17" s="9" customFormat="1" hidden="1" x14ac:dyDescent="0.25">
      <c r="B827" s="267" t="s">
        <v>1443</v>
      </c>
      <c r="D827" s="9">
        <f>+C828</f>
        <v>467694440824.17377</v>
      </c>
      <c r="F827" s="9">
        <f>+E830</f>
        <v>577356722176.58215</v>
      </c>
      <c r="H827" s="9">
        <f>+G832</f>
        <v>338572248970.29053</v>
      </c>
      <c r="J827" s="9">
        <f>+I834</f>
        <v>338572248970.29053</v>
      </c>
    </row>
    <row r="828" spans="2:17" s="9" customFormat="1" hidden="1" x14ac:dyDescent="0.25">
      <c r="B828" s="267" t="s">
        <v>1324</v>
      </c>
      <c r="C828" s="9">
        <f>+$G$167</f>
        <v>467694440824.17377</v>
      </c>
    </row>
    <row r="829" spans="2:17" s="9" customFormat="1" hidden="1" x14ac:dyDescent="0.25">
      <c r="B829" s="267" t="s">
        <v>1325</v>
      </c>
      <c r="D829" s="9">
        <f>+$G$168</f>
        <v>109662281352.4084</v>
      </c>
    </row>
    <row r="830" spans="2:17" s="9" customFormat="1" hidden="1" x14ac:dyDescent="0.25">
      <c r="B830" s="267" t="s">
        <v>1517</v>
      </c>
      <c r="E830" s="9">
        <f>+D829+C828</f>
        <v>577356722176.58215</v>
      </c>
    </row>
    <row r="831" spans="2:17" s="9" customFormat="1" hidden="1" x14ac:dyDescent="0.25">
      <c r="B831" s="267" t="s">
        <v>1444</v>
      </c>
      <c r="F831" s="9">
        <f>--$G$174</f>
        <v>-238784473206.29163</v>
      </c>
    </row>
    <row r="832" spans="2:17" s="9" customFormat="1" hidden="1" x14ac:dyDescent="0.25">
      <c r="B832" s="267" t="s">
        <v>1445</v>
      </c>
      <c r="G832" s="9">
        <f>+F831+F827</f>
        <v>338572248970.29053</v>
      </c>
    </row>
    <row r="833" spans="2:11" s="9" customFormat="1" hidden="1" x14ac:dyDescent="0.25">
      <c r="B833" s="267" t="s">
        <v>1358</v>
      </c>
      <c r="H833" s="9">
        <f>+$G$184</f>
        <v>0</v>
      </c>
    </row>
    <row r="834" spans="2:11" s="9" customFormat="1" hidden="1" x14ac:dyDescent="0.25">
      <c r="B834" s="267" t="s">
        <v>1446</v>
      </c>
      <c r="I834" s="9">
        <f>+H833+G832</f>
        <v>338572248970.29053</v>
      </c>
    </row>
    <row r="835" spans="2:11" s="9" customFormat="1" hidden="1" x14ac:dyDescent="0.25">
      <c r="B835" s="267" t="s">
        <v>35</v>
      </c>
      <c r="J835" s="9">
        <f>+G250</f>
        <v>9.0658509577436153E-2</v>
      </c>
    </row>
    <row r="836" spans="2:11" s="9" customFormat="1" hidden="1" x14ac:dyDescent="0.25">
      <c r="B836" s="267" t="s">
        <v>1447</v>
      </c>
      <c r="K836" s="9">
        <f>+J835+I834</f>
        <v>338572248970.38116</v>
      </c>
    </row>
    <row r="837" spans="2:11" hidden="1" x14ac:dyDescent="0.25"/>
    <row r="838" spans="2:11" hidden="1" x14ac:dyDescent="0.25"/>
    <row r="839" spans="2:11" hidden="1" x14ac:dyDescent="0.25"/>
    <row r="840" spans="2:11" hidden="1" x14ac:dyDescent="0.25"/>
    <row r="841" spans="2:11" hidden="1" x14ac:dyDescent="0.25"/>
    <row r="842" spans="2:11" hidden="1" x14ac:dyDescent="0.25"/>
    <row r="843" spans="2:11" hidden="1" x14ac:dyDescent="0.25"/>
    <row r="844" spans="2:11" hidden="1" x14ac:dyDescent="0.25"/>
    <row r="845" spans="2:11" hidden="1" x14ac:dyDescent="0.25"/>
    <row r="846" spans="2:11" hidden="1" x14ac:dyDescent="0.25"/>
    <row r="847" spans="2:11" hidden="1" x14ac:dyDescent="0.25"/>
    <row r="848" spans="2:11" hidden="1" x14ac:dyDescent="0.25"/>
    <row r="849" spans="2:17" hidden="1" x14ac:dyDescent="0.25"/>
    <row r="850" spans="2:17" hidden="1" x14ac:dyDescent="0.25"/>
    <row r="851" spans="2:17" hidden="1" x14ac:dyDescent="0.25"/>
    <row r="852" spans="2:17" hidden="1" x14ac:dyDescent="0.25"/>
    <row r="853" spans="2:17" hidden="1" x14ac:dyDescent="0.25"/>
    <row r="856" spans="2:17" x14ac:dyDescent="0.25">
      <c r="B856" t="s">
        <v>1170</v>
      </c>
      <c r="D856" s="9">
        <f>+D98</f>
        <v>-123351725291</v>
      </c>
      <c r="E856" s="9">
        <f t="shared" ref="E856:Q856" si="353">+E98</f>
        <v>-123246753564</v>
      </c>
      <c r="F856" s="9">
        <f t="shared" si="353"/>
        <v>-407484839967</v>
      </c>
      <c r="G856" s="9">
        <f t="shared" si="353"/>
        <v>-71367150623.350525</v>
      </c>
      <c r="H856" s="9">
        <f t="shared" si="353"/>
        <v>-61294361133.083534</v>
      </c>
      <c r="I856" s="9">
        <f t="shared" si="353"/>
        <v>57962140617.129768</v>
      </c>
      <c r="J856" s="9">
        <f t="shared" si="353"/>
        <v>-23489583228.370682</v>
      </c>
      <c r="K856" s="9">
        <f t="shared" si="353"/>
        <v>-3594748840.1392765</v>
      </c>
      <c r="L856" s="9">
        <f t="shared" si="353"/>
        <v>20721014850.037926</v>
      </c>
      <c r="M856" s="9">
        <f t="shared" si="353"/>
        <v>48491962430.838875</v>
      </c>
      <c r="N856" s="9">
        <f t="shared" si="353"/>
        <v>67882497750.164734</v>
      </c>
      <c r="O856" s="9">
        <f t="shared" si="353"/>
        <v>74164595590.057831</v>
      </c>
      <c r="P856" s="9">
        <f t="shared" si="353"/>
        <v>76588884645.826218</v>
      </c>
      <c r="Q856" s="9">
        <f t="shared" si="353"/>
        <v>73230896078.510986</v>
      </c>
    </row>
    <row r="873" spans="2:17" x14ac:dyDescent="0.25">
      <c r="B873" t="s">
        <v>1594</v>
      </c>
      <c r="D873" s="9">
        <f>+D144</f>
        <v>0</v>
      </c>
      <c r="E873" s="9">
        <f t="shared" ref="E873:Q873" si="354">+E144</f>
        <v>0</v>
      </c>
      <c r="F873" s="9">
        <f t="shared" si="354"/>
        <v>0</v>
      </c>
      <c r="G873" s="9">
        <f t="shared" si="354"/>
        <v>-11027838046.036842</v>
      </c>
      <c r="H873" s="9">
        <f t="shared" si="354"/>
        <v>-28356973603.574879</v>
      </c>
      <c r="I873" s="9">
        <f t="shared" si="354"/>
        <v>68163037271.218132</v>
      </c>
      <c r="J873" s="9">
        <f t="shared" si="354"/>
        <v>69100235986.71344</v>
      </c>
      <c r="K873" s="9">
        <f t="shared" si="354"/>
        <v>9263221801.8816319</v>
      </c>
      <c r="L873" s="9">
        <f t="shared" si="354"/>
        <v>30975240662.563892</v>
      </c>
      <c r="M873" s="9">
        <f t="shared" si="354"/>
        <v>31338009556.63245</v>
      </c>
      <c r="N873" s="9">
        <f t="shared" si="354"/>
        <v>86033781310.106567</v>
      </c>
      <c r="O873" s="9">
        <f t="shared" si="354"/>
        <v>100110266906.71951</v>
      </c>
      <c r="P873" s="9">
        <f t="shared" si="354"/>
        <v>105558117651.30974</v>
      </c>
      <c r="Q873" s="9">
        <f t="shared" si="354"/>
        <v>77267172197.214493</v>
      </c>
    </row>
  </sheetData>
  <phoneticPr fontId="77" type="noConversion"/>
  <printOptions horizontalCentered="1"/>
  <pageMargins left="0.70866141732283472" right="0.70866141732283472" top="0.74803149606299213" bottom="0.74803149606299213" header="0.31496062992125984" footer="0.31496062992125984"/>
  <pageSetup scale="70" orientation="landscape" r:id="rId1"/>
  <rowBreaks count="5" manualBreakCount="5">
    <brk id="34" min="1" max="12" man="1"/>
    <brk id="59" max="16383" man="1"/>
    <brk id="100" min="1" max="12" man="1"/>
    <brk id="121" max="16383" man="1"/>
    <brk id="161" min="1" max="12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A77A5-4448-4680-B3E5-671E48AA1E9E}">
  <sheetPr>
    <tabColor rgb="FF0070C0"/>
  </sheetPr>
  <dimension ref="A1:L28"/>
  <sheetViews>
    <sheetView showGridLines="0" topLeftCell="A5" workbookViewId="0">
      <selection activeCell="C28" sqref="C28:L28"/>
    </sheetView>
  </sheetViews>
  <sheetFormatPr baseColWidth="10" defaultRowHeight="15" x14ac:dyDescent="0.25"/>
  <cols>
    <col min="2" max="2" width="33.140625" bestFit="1" customWidth="1"/>
    <col min="3" max="3" width="13.7109375" bestFit="1" customWidth="1"/>
  </cols>
  <sheetData>
    <row r="1" spans="1:12" x14ac:dyDescent="0.25">
      <c r="B1" s="502" t="s">
        <v>1689</v>
      </c>
      <c r="C1" s="502"/>
      <c r="D1" s="502"/>
      <c r="E1" s="502"/>
      <c r="F1" s="502"/>
      <c r="G1" s="502"/>
      <c r="H1" s="502"/>
      <c r="I1" s="502"/>
      <c r="J1" s="502"/>
      <c r="K1" s="502"/>
      <c r="L1" s="502"/>
    </row>
    <row r="3" spans="1:12" x14ac:dyDescent="0.25">
      <c r="C3" s="133" t="s">
        <v>1103</v>
      </c>
      <c r="D3" s="133" t="s">
        <v>1104</v>
      </c>
      <c r="E3" s="133" t="s">
        <v>1105</v>
      </c>
      <c r="F3" s="133" t="s">
        <v>1106</v>
      </c>
      <c r="G3" s="133" t="s">
        <v>1107</v>
      </c>
      <c r="H3" s="133" t="s">
        <v>1108</v>
      </c>
      <c r="I3" s="133" t="s">
        <v>1346</v>
      </c>
      <c r="J3" s="133" t="s">
        <v>1347</v>
      </c>
      <c r="K3" s="133" t="s">
        <v>1348</v>
      </c>
      <c r="L3" s="133" t="s">
        <v>1349</v>
      </c>
    </row>
    <row r="4" spans="1:12" x14ac:dyDescent="0.25">
      <c r="B4" t="s">
        <v>1690</v>
      </c>
      <c r="C4" s="1">
        <f>+Comparación!D16</f>
        <v>1540314</v>
      </c>
      <c r="D4" s="1">
        <f>+Comparación!E16</f>
        <v>1593454.8329999999</v>
      </c>
      <c r="E4" s="1">
        <f>+Comparación!F16</f>
        <v>1601422.1071649997</v>
      </c>
      <c r="F4" s="1">
        <f>+Comparación!G16</f>
        <v>1609429.2177008246</v>
      </c>
      <c r="G4" s="1">
        <f>+Comparación!H16</f>
        <v>1617476.3637893286</v>
      </c>
      <c r="H4" s="1">
        <f>+Comparación!I16</f>
        <v>1625563.7456082751</v>
      </c>
      <c r="I4" s="1">
        <f>+Comparación!J16</f>
        <v>1633691.5643363162</v>
      </c>
      <c r="J4" s="1">
        <f>+Comparación!K16</f>
        <v>1641860.0221579976</v>
      </c>
      <c r="K4" s="1">
        <f>+Comparación!L16</f>
        <v>1650069.3222687873</v>
      </c>
      <c r="L4" s="1">
        <f>+Comparación!M16</f>
        <v>1658319.6688801311</v>
      </c>
    </row>
    <row r="5" spans="1:12" x14ac:dyDescent="0.25">
      <c r="B5" t="s">
        <v>1691</v>
      </c>
      <c r="C5" s="1">
        <f>+Comparación!D17</f>
        <v>125910</v>
      </c>
      <c r="D5" s="1">
        <f>+Comparación!E17</f>
        <v>104262</v>
      </c>
      <c r="E5" s="1">
        <f>+Comparación!F17</f>
        <v>94062</v>
      </c>
      <c r="F5" s="1">
        <f>+Comparación!G17</f>
        <v>104262</v>
      </c>
      <c r="G5" s="1">
        <f>+Comparación!H17</f>
        <v>114462</v>
      </c>
      <c r="H5" s="1">
        <f>+Comparación!I17</f>
        <v>115034.30999999998</v>
      </c>
      <c r="I5" s="1">
        <f>+Comparación!J17</f>
        <v>115609.48154999997</v>
      </c>
      <c r="J5" s="1">
        <f>+Comparación!K17</f>
        <v>116187.52895774995</v>
      </c>
      <c r="K5" s="1">
        <f>+Comparación!L17</f>
        <v>116768.46660253868</v>
      </c>
      <c r="L5" s="1">
        <f>+Comparación!M17</f>
        <v>117352.30893555137</v>
      </c>
    </row>
    <row r="6" spans="1:12" x14ac:dyDescent="0.25">
      <c r="B6" s="16" t="s">
        <v>1692</v>
      </c>
      <c r="C6" s="2">
        <f>+SUM(C4:C5)</f>
        <v>1666224</v>
      </c>
      <c r="D6" s="2">
        <f t="shared" ref="D6:L6" si="0">+SUM(D4:D5)</f>
        <v>1697716.8329999999</v>
      </c>
      <c r="E6" s="2">
        <f t="shared" si="0"/>
        <v>1695484.1071649997</v>
      </c>
      <c r="F6" s="2">
        <f t="shared" si="0"/>
        <v>1713691.2177008246</v>
      </c>
      <c r="G6" s="2">
        <f t="shared" si="0"/>
        <v>1731938.3637893286</v>
      </c>
      <c r="H6" s="2">
        <f t="shared" si="0"/>
        <v>1740598.0556082751</v>
      </c>
      <c r="I6" s="2">
        <f t="shared" si="0"/>
        <v>1749301.0458863161</v>
      </c>
      <c r="J6" s="2">
        <f t="shared" si="0"/>
        <v>1758047.5511157475</v>
      </c>
      <c r="K6" s="2">
        <f t="shared" si="0"/>
        <v>1766837.788871326</v>
      </c>
      <c r="L6" s="2">
        <f t="shared" si="0"/>
        <v>1775671.9778156825</v>
      </c>
    </row>
    <row r="8" spans="1:12" x14ac:dyDescent="0.25">
      <c r="B8" t="s">
        <v>1693</v>
      </c>
      <c r="C8" s="453">
        <f>+PRY!H64/Resumen!$A$11</f>
        <v>1557143.857661</v>
      </c>
      <c r="D8" s="453">
        <f>+PRY!I64/Resumen!$A$11</f>
        <v>1677237.1269643588</v>
      </c>
      <c r="E8" s="453">
        <f>+PRY!J64/Resumen!$A$11</f>
        <v>1735747.7130227252</v>
      </c>
      <c r="F8" s="453">
        <f>+PRY!K64/Resumen!$A$11</f>
        <v>1797249.8977540161</v>
      </c>
      <c r="G8" s="453">
        <f>+PRY!L64/Resumen!$A$11</f>
        <v>1860928.6038571685</v>
      </c>
      <c r="H8" s="453">
        <f>+PRY!M64/Resumen!$A$11</f>
        <v>1926860.7776457595</v>
      </c>
      <c r="I8" s="453">
        <f>+PRY!N64/Resumen!$A$11</f>
        <v>1995126.0833439101</v>
      </c>
      <c r="J8" s="453">
        <f>+PRY!O64/Resumen!$A$11</f>
        <v>2065806.9990182675</v>
      </c>
      <c r="K8" s="453">
        <f>+PRY!P64/Resumen!$A$11</f>
        <v>2138988.9158939235</v>
      </c>
      <c r="L8" s="453">
        <f>+PRY!Q64/Resumen!$A$11</f>
        <v>2146839.8561725733</v>
      </c>
    </row>
    <row r="9" spans="1:12" x14ac:dyDescent="0.25">
      <c r="B9" t="s">
        <v>1694</v>
      </c>
      <c r="C9" s="453">
        <f>+PRY!H63/Resumen!$A$11</f>
        <v>86947.638422000004</v>
      </c>
      <c r="D9" s="453">
        <f>+PRY!I63/Resumen!$A$11</f>
        <v>91608.031841419201</v>
      </c>
      <c r="E9" s="453">
        <f>+PRY!J63/Resumen!$A$11</f>
        <v>95272.353115075966</v>
      </c>
      <c r="F9" s="453">
        <f>+PRY!K63/Resumen!$A$11</f>
        <v>98130.523708528257</v>
      </c>
      <c r="G9" s="453">
        <f>+PRY!L63/Resumen!$A$11</f>
        <v>101074.4394197841</v>
      </c>
      <c r="H9" s="453">
        <f>+PRY!M63/Resumen!$A$11</f>
        <v>104106.67260237763</v>
      </c>
      <c r="I9" s="453">
        <f>+PRY!N63/Resumen!$A$11</f>
        <v>107229.87278044896</v>
      </c>
      <c r="J9" s="453">
        <f>+PRY!O63/Resumen!$A$11</f>
        <v>110446.76896386243</v>
      </c>
      <c r="K9" s="453">
        <f>+PRY!P63/Resumen!$A$11</f>
        <v>113760.17203277831</v>
      </c>
      <c r="L9" s="453">
        <f>+PRY!Q63/Resumen!$A$11</f>
        <v>117172.97719376166</v>
      </c>
    </row>
    <row r="10" spans="1:12" x14ac:dyDescent="0.25">
      <c r="B10" t="s">
        <v>1695</v>
      </c>
      <c r="C10" s="453">
        <f>+SUM(PRY!H65:H69)/Resumen!$A$11</f>
        <v>78702.193474355649</v>
      </c>
      <c r="D10" s="453">
        <f>+SUM(PRY!I65:I69)/Resumen!$A$11</f>
        <v>82116.404335607251</v>
      </c>
      <c r="E10" s="453">
        <f>+SUM(PRY!J65:J69)/Resumen!$A$11</f>
        <v>84236.068072371534</v>
      </c>
      <c r="F10" s="453">
        <f>+SUM(PRY!K65:K69)/Resumen!$A$11</f>
        <v>91360.232971522346</v>
      </c>
      <c r="G10" s="453">
        <f>+SUM(PRY!L65:L69)/Resumen!$A$11</f>
        <v>92519.351853234592</v>
      </c>
      <c r="H10" s="453">
        <f>+SUM(PRY!M65:M69)/Resumen!$A$11</f>
        <v>95771.407070875764</v>
      </c>
      <c r="I10" s="453">
        <f>+SUM(PRY!N65:N69)/Resumen!$A$11</f>
        <v>99137.772029417058</v>
      </c>
      <c r="J10" s="453">
        <f>+SUM(PRY!O65:O69)/Resumen!$A$11</f>
        <v>102622.46471625104</v>
      </c>
      <c r="K10" s="453">
        <f>+SUM(PRY!P65:P69)/Resumen!$A$11</f>
        <v>106229.64435102725</v>
      </c>
      <c r="L10" s="453">
        <f>+SUM(PRY!Q65:Q69)/Resumen!$A$11</f>
        <v>106760.79257278239</v>
      </c>
    </row>
    <row r="11" spans="1:12" x14ac:dyDescent="0.25">
      <c r="A11" s="418">
        <v>1000000</v>
      </c>
      <c r="B11" s="16" t="s">
        <v>1696</v>
      </c>
      <c r="C11" s="454">
        <f>+SUM(C8:C10)</f>
        <v>1722793.6895573556</v>
      </c>
      <c r="D11" s="454">
        <f t="shared" ref="D11:L11" si="1">+SUM(D8:D10)</f>
        <v>1850961.5631413853</v>
      </c>
      <c r="E11" s="454">
        <f t="shared" si="1"/>
        <v>1915256.1342101726</v>
      </c>
      <c r="F11" s="454">
        <f t="shared" si="1"/>
        <v>1986740.6544340665</v>
      </c>
      <c r="G11" s="454">
        <f t="shared" si="1"/>
        <v>2054522.3951301873</v>
      </c>
      <c r="H11" s="454">
        <f t="shared" si="1"/>
        <v>2126738.8573190127</v>
      </c>
      <c r="I11" s="454">
        <f t="shared" si="1"/>
        <v>2201493.7281537759</v>
      </c>
      <c r="J11" s="454">
        <f t="shared" si="1"/>
        <v>2278876.2326983809</v>
      </c>
      <c r="K11" s="454">
        <f t="shared" si="1"/>
        <v>2358978.7322777291</v>
      </c>
      <c r="L11" s="454">
        <f t="shared" si="1"/>
        <v>2370773.6259391173</v>
      </c>
    </row>
    <row r="13" spans="1:12" x14ac:dyDescent="0.25">
      <c r="B13" t="s">
        <v>1697</v>
      </c>
      <c r="C13" s="453">
        <f>+PRY!H72/Resumen!$A$11</f>
        <v>1665301</v>
      </c>
      <c r="D13" s="453">
        <f>+PRY!I72/Resumen!$A$11</f>
        <v>1709347.1978867399</v>
      </c>
      <c r="E13" s="453">
        <f>+PRY!J72/Resumen!$A$11</f>
        <v>1851223.0153113392</v>
      </c>
      <c r="F13" s="453">
        <f>+PRY!K72/Resumen!$A$11</f>
        <v>1899354.8137094341</v>
      </c>
      <c r="G13" s="453">
        <f>+PRY!L72/Resumen!$A$11</f>
        <v>1939241.264797332</v>
      </c>
      <c r="H13" s="453">
        <f>+PRY!M72/Resumen!$A$11</f>
        <v>1979965.3313580758</v>
      </c>
      <c r="I13" s="453">
        <f>+PRY!N72/Resumen!$A$11</f>
        <v>2031444.429973386</v>
      </c>
      <c r="J13" s="453">
        <f>+PRY!O72/Resumen!$A$11</f>
        <v>2098482.0961625078</v>
      </c>
      <c r="K13" s="453">
        <f>+PRY!P72/Resumen!$A$11</f>
        <v>2171928.969528195</v>
      </c>
      <c r="L13" s="453">
        <f>+PRY!Q72/Resumen!$A$11</f>
        <v>2182788.6143758358</v>
      </c>
    </row>
    <row r="14" spans="1:12" x14ac:dyDescent="0.25">
      <c r="B14" t="s">
        <v>1698</v>
      </c>
      <c r="C14" s="453">
        <f>+PRY!H73/Resumen!$A$11</f>
        <v>42151</v>
      </c>
      <c r="D14" s="453">
        <f>+PRY!I73/Resumen!$A$11</f>
        <v>2800</v>
      </c>
      <c r="E14" s="453">
        <f>+PRY!J73/Resumen!$A$11</f>
        <v>3032.4</v>
      </c>
      <c r="F14" s="453">
        <f>+PRY!K73/Resumen!$A$11</f>
        <v>3111.2424000000001</v>
      </c>
      <c r="G14" s="453">
        <f>+PRY!L73/Resumen!$A$11</f>
        <v>3176.5784903999024</v>
      </c>
      <c r="H14" s="453">
        <f>+PRY!M73/Resumen!$A$11</f>
        <v>3243.2866386982423</v>
      </c>
      <c r="I14" s="453">
        <f>+PRY!N73/Resumen!$A$11</f>
        <v>3327.6120913044433</v>
      </c>
      <c r="J14" s="453">
        <f>+PRY!O73/Resumen!$A$11</f>
        <v>3437.4232903173829</v>
      </c>
      <c r="K14" s="453">
        <f>+PRY!P73/Resumen!$A$11</f>
        <v>3557.7331054785154</v>
      </c>
      <c r="L14" s="453">
        <f>+PRY!Q73/Resumen!$A$11</f>
        <v>3575.5217710061033</v>
      </c>
    </row>
    <row r="15" spans="1:12" x14ac:dyDescent="0.25">
      <c r="B15" s="16" t="s">
        <v>1699</v>
      </c>
      <c r="C15" s="454">
        <f>+SUM(C13:C14)</f>
        <v>1707452</v>
      </c>
      <c r="D15" s="454">
        <f t="shared" ref="D15:L15" si="2">+SUM(D13:D14)</f>
        <v>1712147.1978867399</v>
      </c>
      <c r="E15" s="454">
        <f t="shared" si="2"/>
        <v>1854255.4153113391</v>
      </c>
      <c r="F15" s="454">
        <f t="shared" si="2"/>
        <v>1902466.0561094342</v>
      </c>
      <c r="G15" s="454">
        <f t="shared" si="2"/>
        <v>1942417.843287732</v>
      </c>
      <c r="H15" s="454">
        <f t="shared" si="2"/>
        <v>1983208.6179967741</v>
      </c>
      <c r="I15" s="454">
        <f t="shared" si="2"/>
        <v>2034772.0420646905</v>
      </c>
      <c r="J15" s="454">
        <f t="shared" si="2"/>
        <v>2101919.5194528252</v>
      </c>
      <c r="K15" s="454">
        <f t="shared" si="2"/>
        <v>2175486.7026336733</v>
      </c>
      <c r="L15" s="454">
        <f t="shared" si="2"/>
        <v>2186364.136146842</v>
      </c>
    </row>
    <row r="17" spans="2:12" x14ac:dyDescent="0.25">
      <c r="B17" s="16" t="s">
        <v>1700</v>
      </c>
      <c r="C17" s="454">
        <f>+C11-C15</f>
        <v>15341.689557355596</v>
      </c>
      <c r="D17" s="454">
        <f t="shared" ref="D17:L17" si="3">+D11-D15</f>
        <v>138814.36525464547</v>
      </c>
      <c r="E17" s="454">
        <f t="shared" si="3"/>
        <v>61000.718898833496</v>
      </c>
      <c r="F17" s="454">
        <f t="shared" si="3"/>
        <v>84274.598324632272</v>
      </c>
      <c r="G17" s="454">
        <f t="shared" si="3"/>
        <v>112104.55184245529</v>
      </c>
      <c r="H17" s="454">
        <f t="shared" si="3"/>
        <v>143530.2393222386</v>
      </c>
      <c r="I17" s="454">
        <f t="shared" si="3"/>
        <v>166721.68608908542</v>
      </c>
      <c r="J17" s="454">
        <f t="shared" si="3"/>
        <v>176956.71324555576</v>
      </c>
      <c r="K17" s="454">
        <f t="shared" si="3"/>
        <v>183492.02964405576</v>
      </c>
      <c r="L17" s="454">
        <f t="shared" si="3"/>
        <v>184409.48979227524</v>
      </c>
    </row>
    <row r="19" spans="2:12" x14ac:dyDescent="0.25">
      <c r="B19" s="16" t="s">
        <v>1701</v>
      </c>
      <c r="C19" s="456">
        <f>+((C15)/SUM(C8:C9))</f>
        <v>1.0385383076720209</v>
      </c>
      <c r="D19" s="456">
        <f t="shared" ref="D19:L19" si="4">+((D15)/SUM(D8:D9))</f>
        <v>0.9679463402227263</v>
      </c>
      <c r="E19" s="456">
        <f t="shared" si="4"/>
        <v>1.0126898386332535</v>
      </c>
      <c r="F19" s="456">
        <f t="shared" si="4"/>
        <v>1.0037383707073551</v>
      </c>
      <c r="G19" s="456">
        <f t="shared" si="4"/>
        <v>0.99001775249211177</v>
      </c>
      <c r="H19" s="456">
        <f t="shared" si="4"/>
        <v>0.97648468849388603</v>
      </c>
      <c r="I19" s="456">
        <f t="shared" si="4"/>
        <v>0.96785324870282308</v>
      </c>
      <c r="J19" s="456">
        <f t="shared" si="4"/>
        <v>0.96584302362944141</v>
      </c>
      <c r="K19" s="456">
        <f t="shared" si="4"/>
        <v>0.965703066663258</v>
      </c>
      <c r="L19" s="456">
        <f t="shared" si="4"/>
        <v>0.96570306666325834</v>
      </c>
    </row>
    <row r="20" spans="2:12" x14ac:dyDescent="0.25">
      <c r="B20" s="16" t="s">
        <v>1702</v>
      </c>
      <c r="C20" s="456">
        <f>+C15/C11</f>
        <v>0.99109487708809907</v>
      </c>
      <c r="D20" s="456">
        <f t="shared" ref="D20:L20" si="5">+D15/D11</f>
        <v>0.9250041880831632</v>
      </c>
      <c r="E20" s="456">
        <f t="shared" si="5"/>
        <v>0.9681500986686622</v>
      </c>
      <c r="F20" s="456">
        <f t="shared" si="5"/>
        <v>0.9575814799296799</v>
      </c>
      <c r="G20" s="456">
        <f t="shared" si="5"/>
        <v>0.94543522518509626</v>
      </c>
      <c r="H20" s="456">
        <f t="shared" si="5"/>
        <v>0.93251158277929136</v>
      </c>
      <c r="I20" s="456">
        <f t="shared" si="5"/>
        <v>0.92426883440231189</v>
      </c>
      <c r="J20" s="456">
        <f t="shared" si="5"/>
        <v>0.9223491338816483</v>
      </c>
      <c r="K20" s="456">
        <f t="shared" si="5"/>
        <v>0.92221547946433424</v>
      </c>
      <c r="L20" s="456">
        <f t="shared" si="5"/>
        <v>0.92221547946433458</v>
      </c>
    </row>
    <row r="22" spans="2:12" x14ac:dyDescent="0.25">
      <c r="B22" s="16" t="s">
        <v>1703</v>
      </c>
      <c r="C22" s="457">
        <f>+SUM(PRY!H80+PRY!H108)/Resumen!$A$11</f>
        <v>92219.372590220621</v>
      </c>
      <c r="D22" s="457">
        <f>+SUM(PRY!I80+PRY!I108)/Resumen!$A$11</f>
        <v>124068.78416234867</v>
      </c>
      <c r="E22" s="457">
        <f>+SUM(PRY!J80+PRY!J108)/Resumen!$A$11</f>
        <v>98312.353570773688</v>
      </c>
      <c r="F22" s="457">
        <f>+SUM(PRY!K80+PRY!K108)/Resumen!$A$11</f>
        <v>102203.88957453656</v>
      </c>
      <c r="G22" s="457">
        <f>+SUM(PRY!L80+PRY!L108)/Resumen!$A$11</f>
        <v>106030.01983043045</v>
      </c>
      <c r="H22" s="457">
        <f>+SUM(PRY!M80+PRY!M108)/Resumen!$A$11</f>
        <v>110030.86458004698</v>
      </c>
      <c r="I22" s="457">
        <f>+SUM(PRY!N80+PRY!N108)/Resumen!$A$11</f>
        <v>114246.1541043778</v>
      </c>
      <c r="J22" s="457">
        <f>+SUM(PRY!O80+PRY!O108)/Resumen!$A$11</f>
        <v>118626.09859755173</v>
      </c>
      <c r="K22" s="457">
        <f>+SUM(PRY!P80+PRY!P108)/Resumen!$A$11</f>
        <v>123176.7683222894</v>
      </c>
      <c r="L22" s="457">
        <f>+SUM(PRY!Q80+PRY!Q108)/Resumen!$A$11</f>
        <v>127899.67637214222</v>
      </c>
    </row>
    <row r="23" spans="2:12" x14ac:dyDescent="0.25">
      <c r="B23" s="455" t="s">
        <v>1704</v>
      </c>
      <c r="C23" s="8">
        <f>+C22/C11</f>
        <v>5.3528970502506844E-2</v>
      </c>
      <c r="D23" s="8">
        <f t="shared" ref="D23:L23" si="6">+D22/D11</f>
        <v>6.7029368212154342E-2</v>
      </c>
      <c r="E23" s="8">
        <f t="shared" si="6"/>
        <v>5.1331178015684292E-2</v>
      </c>
      <c r="F23" s="8">
        <f t="shared" si="6"/>
        <v>5.1442995011168113E-2</v>
      </c>
      <c r="G23" s="8">
        <f t="shared" si="6"/>
        <v>5.1608111005142746E-2</v>
      </c>
      <c r="H23" s="8">
        <f t="shared" si="6"/>
        <v>5.1736894824385225E-2</v>
      </c>
      <c r="I23" s="8">
        <f t="shared" si="6"/>
        <v>5.1894835149127266E-2</v>
      </c>
      <c r="J23" s="8">
        <f t="shared" si="6"/>
        <v>5.205464732812122E-2</v>
      </c>
      <c r="K23" s="8">
        <f t="shared" si="6"/>
        <v>5.2216141941794941E-2</v>
      </c>
      <c r="L23" s="8">
        <f t="shared" si="6"/>
        <v>5.3948498065258442E-2</v>
      </c>
    </row>
    <row r="25" spans="2:12" x14ac:dyDescent="0.25">
      <c r="B25" s="16" t="s">
        <v>1705</v>
      </c>
      <c r="C25" s="457">
        <f>+PRY!H104/Resumen!$A$11</f>
        <v>200775.62072179824</v>
      </c>
      <c r="D25" s="457">
        <f>+PRY!I104/Resumen!$A$11</f>
        <v>9176.0488466502666</v>
      </c>
      <c r="E25" s="457">
        <f>+PRY!J104/Resumen!$A$11</f>
        <v>30131.912110893547</v>
      </c>
      <c r="F25" s="457">
        <f>+PRY!K104/Resumen!$A$11</f>
        <v>32163.866526932423</v>
      </c>
      <c r="G25" s="457">
        <f>+PRY!L104/Resumen!$A$11</f>
        <v>33784.659594311604</v>
      </c>
      <c r="H25" s="457">
        <f>+PRY!M104/Resumen!$A$11</f>
        <v>27074.592466726554</v>
      </c>
      <c r="I25" s="457">
        <f>+PRY!N104/Resumen!$A$11</f>
        <v>28221.518404896917</v>
      </c>
      <c r="J25" s="457">
        <f>+PRY!O104/Resumen!$A$11</f>
        <v>29156.832790186887</v>
      </c>
      <c r="K25" s="457">
        <f>+PRY!P104/Resumen!$A$11</f>
        <v>30134.162575952378</v>
      </c>
      <c r="L25" s="457">
        <f>+PRY!Q104/Resumen!$A$11</f>
        <v>30387.563595244377</v>
      </c>
    </row>
    <row r="27" spans="2:12" x14ac:dyDescent="0.25">
      <c r="B27" s="16" t="s">
        <v>1706</v>
      </c>
      <c r="C27" s="454">
        <f>+C11-C15-C22+C25</f>
        <v>123897.93768893322</v>
      </c>
      <c r="D27" s="454">
        <f t="shared" ref="D27:K27" si="7">+D11-D15-D22+D25</f>
        <v>23921.629938947059</v>
      </c>
      <c r="E27" s="454">
        <f t="shared" si="7"/>
        <v>-7179.7225610466448</v>
      </c>
      <c r="F27" s="454">
        <f t="shared" si="7"/>
        <v>14234.575277028136</v>
      </c>
      <c r="G27" s="454">
        <f t="shared" si="7"/>
        <v>39859.191606336441</v>
      </c>
      <c r="H27" s="454">
        <f t="shared" si="7"/>
        <v>60573.967208918169</v>
      </c>
      <c r="I27" s="454">
        <f t="shared" si="7"/>
        <v>80697.050389604527</v>
      </c>
      <c r="J27" s="454">
        <f t="shared" si="7"/>
        <v>87487.447438190924</v>
      </c>
      <c r="K27" s="454">
        <f t="shared" si="7"/>
        <v>90449.423897718734</v>
      </c>
      <c r="L27" s="454">
        <f>+L11-L15-L22+L25</f>
        <v>86897.377015377395</v>
      </c>
    </row>
    <row r="28" spans="2:12" x14ac:dyDescent="0.25">
      <c r="B28" s="16" t="s">
        <v>1707</v>
      </c>
      <c r="C28" s="8">
        <f>+C27/C11</f>
        <v>7.1916874574091821E-2</v>
      </c>
      <c r="D28" s="8">
        <f t="shared" ref="D28:L28" si="8">+D27/D11</f>
        <v>1.2923893405084074E-2</v>
      </c>
      <c r="E28" s="8">
        <f t="shared" si="8"/>
        <v>-3.748700987195883E-3</v>
      </c>
      <c r="F28" s="8">
        <f t="shared" si="8"/>
        <v>7.1647878374356466E-3</v>
      </c>
      <c r="G28" s="8">
        <f t="shared" si="8"/>
        <v>1.9400709235788453E-2</v>
      </c>
      <c r="H28" s="8">
        <f t="shared" si="8"/>
        <v>2.8482089844015117E-2</v>
      </c>
      <c r="I28" s="8">
        <f t="shared" si="8"/>
        <v>3.6655589501623953E-2</v>
      </c>
      <c r="J28" s="8">
        <f t="shared" si="8"/>
        <v>3.8390609451658737E-2</v>
      </c>
      <c r="K28" s="8">
        <f t="shared" si="8"/>
        <v>3.8342619481941932E-2</v>
      </c>
      <c r="L28" s="8">
        <f t="shared" si="8"/>
        <v>3.6653595292530455E-2</v>
      </c>
    </row>
  </sheetData>
  <mergeCells count="1">
    <mergeCell ref="B1:L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U47"/>
  <sheetViews>
    <sheetView topLeftCell="A34" workbookViewId="0">
      <selection activeCell="A48" sqref="A48"/>
    </sheetView>
  </sheetViews>
  <sheetFormatPr baseColWidth="10" defaultRowHeight="15" x14ac:dyDescent="0.25"/>
  <cols>
    <col min="1" max="1" width="28.140625" customWidth="1"/>
    <col min="2" max="2" width="14.5703125" customWidth="1"/>
    <col min="3" max="3" width="8.42578125" style="272" customWidth="1"/>
    <col min="4" max="4" width="14.5703125" customWidth="1"/>
    <col min="5" max="6" width="8.42578125" style="272" customWidth="1"/>
    <col min="7" max="7" width="14.5703125" customWidth="1"/>
    <col min="8" max="9" width="8.42578125" style="272" customWidth="1"/>
    <col min="10" max="10" width="27" style="272" bestFit="1" customWidth="1"/>
    <col min="11" max="12" width="14.5703125" customWidth="1"/>
    <col min="13" max="16" width="17.140625" bestFit="1" customWidth="1"/>
  </cols>
  <sheetData>
    <row r="4" spans="1:16" x14ac:dyDescent="0.25">
      <c r="A4">
        <v>253</v>
      </c>
      <c r="B4">
        <v>185</v>
      </c>
      <c r="D4">
        <v>19</v>
      </c>
      <c r="G4" s="352"/>
    </row>
    <row r="5" spans="1:16" x14ac:dyDescent="0.25">
      <c r="A5">
        <v>0</v>
      </c>
      <c r="B5">
        <v>45</v>
      </c>
      <c r="D5">
        <v>98</v>
      </c>
      <c r="G5" s="353"/>
    </row>
    <row r="9" spans="1:16" ht="25.5" customHeight="1" thickBot="1" x14ac:dyDescent="0.45">
      <c r="A9" s="503" t="s">
        <v>1596</v>
      </c>
      <c r="B9" s="503"/>
      <c r="C9" s="503"/>
      <c r="D9" s="503"/>
      <c r="E9" s="503"/>
      <c r="F9" s="503"/>
      <c r="G9" s="503"/>
      <c r="H9" s="503"/>
      <c r="I9" s="503"/>
      <c r="J9" s="363"/>
      <c r="K9" s="362"/>
      <c r="L9" s="362"/>
    </row>
    <row r="11" spans="1:16" s="354" customFormat="1" ht="24" customHeight="1" x14ac:dyDescent="0.25">
      <c r="B11" s="356" t="s">
        <v>1099</v>
      </c>
      <c r="C11" s="364" t="s">
        <v>12</v>
      </c>
      <c r="D11" s="357" t="s">
        <v>1100</v>
      </c>
      <c r="E11" s="364" t="s">
        <v>12</v>
      </c>
      <c r="F11" s="364" t="s">
        <v>1602</v>
      </c>
      <c r="G11" s="357" t="s">
        <v>1101</v>
      </c>
      <c r="H11" s="364" t="s">
        <v>12</v>
      </c>
      <c r="I11" s="364" t="s">
        <v>1602</v>
      </c>
      <c r="K11" s="382" t="str">
        <f>+PRY!G6</f>
        <v xml:space="preserve">2018 </v>
      </c>
      <c r="L11" s="382" t="str">
        <f>+PRY!H6</f>
        <v xml:space="preserve">2019 </v>
      </c>
      <c r="M11" s="382" t="str">
        <f>+PRY!I6</f>
        <v>2020 P</v>
      </c>
      <c r="N11" s="382" t="str">
        <f>+PRY!J6</f>
        <v>2021 P</v>
      </c>
      <c r="O11" s="382" t="str">
        <f>+PRY!K6</f>
        <v>2022 P</v>
      </c>
      <c r="P11" s="382" t="str">
        <f>+PRY!L6</f>
        <v>2023 P</v>
      </c>
    </row>
    <row r="12" spans="1:16" s="355" customFormat="1" ht="24" customHeight="1" x14ac:dyDescent="0.25">
      <c r="A12" s="358" t="s">
        <v>1570</v>
      </c>
      <c r="B12" s="359">
        <f>+PRY!D196</f>
        <v>1190425478954</v>
      </c>
      <c r="C12" s="365">
        <f>+B12/B$12</f>
        <v>1</v>
      </c>
      <c r="D12" s="359">
        <f>+PRY!E196</f>
        <v>1349953464576</v>
      </c>
      <c r="E12" s="365">
        <f t="shared" ref="E12:E18" si="0">+D12/D$12</f>
        <v>1</v>
      </c>
      <c r="F12" s="365">
        <f>+D12/B12-1</f>
        <v>0.1340092164040152</v>
      </c>
      <c r="G12" s="359">
        <f>+PRY!F196</f>
        <v>1444415524848</v>
      </c>
      <c r="H12" s="365">
        <f t="shared" ref="H12:H18" si="1">+G12/G$12</f>
        <v>1</v>
      </c>
      <c r="I12" s="365">
        <f>+G12/D12-1</f>
        <v>6.9974308560087461E-2</v>
      </c>
      <c r="J12" s="358" t="s">
        <v>1570</v>
      </c>
      <c r="K12" s="359">
        <f>+PRY!G196</f>
        <v>1598417557712.9558</v>
      </c>
      <c r="L12" s="359">
        <f>+PRY!H196</f>
        <v>1722793689557.3555</v>
      </c>
      <c r="M12" s="359">
        <f>+PRY!I196</f>
        <v>1850961563141.3853</v>
      </c>
      <c r="N12" s="359">
        <f>+PRY!J196</f>
        <v>1915256134210.1724</v>
      </c>
      <c r="O12" s="359">
        <f>+PRY!K196</f>
        <v>1986740654434.0669</v>
      </c>
      <c r="P12" s="359">
        <f>+PRY!L196</f>
        <v>2054522395130.1873</v>
      </c>
    </row>
    <row r="13" spans="1:16" s="355" customFormat="1" ht="24" customHeight="1" x14ac:dyDescent="0.25">
      <c r="A13" s="358" t="s">
        <v>1571</v>
      </c>
      <c r="B13" s="359">
        <f>-PRY!D197</f>
        <v>-1258660361437</v>
      </c>
      <c r="C13" s="365">
        <f t="shared" ref="C13:C18" si="2">+B13/B$12</f>
        <v>-1.0573197429737109</v>
      </c>
      <c r="D13" s="359">
        <f>-PRY!E197</f>
        <v>-1415181059075</v>
      </c>
      <c r="E13" s="365">
        <f t="shared" si="0"/>
        <v>-1.0483184022343222</v>
      </c>
      <c r="F13" s="365">
        <f t="shared" ref="F13:F18" si="3">+D13/B13-1</f>
        <v>0.12435499077710044</v>
      </c>
      <c r="G13" s="359">
        <f>-PRY!F197</f>
        <v>-1799539968307</v>
      </c>
      <c r="H13" s="365">
        <f t="shared" si="1"/>
        <v>-1.2458603063660443</v>
      </c>
      <c r="I13" s="365">
        <f t="shared" ref="I13:I18" si="4">+G13/D13-1</f>
        <v>0.2715969852530582</v>
      </c>
      <c r="J13" s="358" t="s">
        <v>1571</v>
      </c>
      <c r="K13" s="359">
        <f>-PRY!G197</f>
        <v>-1605994516712.717</v>
      </c>
      <c r="L13" s="359">
        <f>-PRY!H197</f>
        <v>-1707452000000</v>
      </c>
      <c r="M13" s="359">
        <f>-PRY!I197</f>
        <v>-1712147197886.7397</v>
      </c>
      <c r="N13" s="359">
        <f>-PRY!J197</f>
        <v>-1854255415311.3391</v>
      </c>
      <c r="O13" s="359">
        <f>-PRY!K197</f>
        <v>-1902466056109.4341</v>
      </c>
      <c r="P13" s="359">
        <f>-PRY!L197</f>
        <v>-1942417843287.7319</v>
      </c>
    </row>
    <row r="14" spans="1:16" s="354" customFormat="1" ht="24" customHeight="1" x14ac:dyDescent="0.25">
      <c r="A14" s="360" t="s">
        <v>1597</v>
      </c>
      <c r="B14" s="361">
        <f>+B12+B13</f>
        <v>-68234882483</v>
      </c>
      <c r="C14" s="366">
        <f t="shared" si="2"/>
        <v>-5.7319742973710924E-2</v>
      </c>
      <c r="D14" s="361">
        <f t="shared" ref="D14:L14" si="5">+D12+D13</f>
        <v>-65227594499</v>
      </c>
      <c r="E14" s="366">
        <f t="shared" si="0"/>
        <v>-4.8318402234322204E-2</v>
      </c>
      <c r="F14" s="366">
        <f t="shared" si="3"/>
        <v>-4.40725897747275E-2</v>
      </c>
      <c r="G14" s="361">
        <f t="shared" si="5"/>
        <v>-355124443459</v>
      </c>
      <c r="H14" s="366">
        <f t="shared" si="1"/>
        <v>-0.24586030636604433</v>
      </c>
      <c r="I14" s="366">
        <f t="shared" si="4"/>
        <v>4.4443896971310872</v>
      </c>
      <c r="J14" s="360" t="s">
        <v>1597</v>
      </c>
      <c r="K14" s="361">
        <f t="shared" si="5"/>
        <v>-7576958999.7612305</v>
      </c>
      <c r="L14" s="361">
        <f t="shared" si="5"/>
        <v>15341689557.355469</v>
      </c>
      <c r="M14" s="361">
        <f>+M12+M13</f>
        <v>138814365254.64551</v>
      </c>
      <c r="N14" s="361">
        <f>+N12+N13</f>
        <v>61000718898.833252</v>
      </c>
      <c r="O14" s="361">
        <f>+O12+O13</f>
        <v>84274598324.632813</v>
      </c>
      <c r="P14" s="361">
        <f>+P12+P13</f>
        <v>112104551842.45532</v>
      </c>
    </row>
    <row r="15" spans="1:16" s="355" customFormat="1" ht="24" customHeight="1" x14ac:dyDescent="0.25">
      <c r="A15" s="358" t="s">
        <v>1598</v>
      </c>
      <c r="B15" s="359">
        <f>+-PRY!D200</f>
        <v>-65530159990</v>
      </c>
      <c r="C15" s="365">
        <f t="shared" si="2"/>
        <v>-5.5047679294952481E-2</v>
      </c>
      <c r="D15" s="359">
        <f>+-PRY!E200</f>
        <v>-71672195100</v>
      </c>
      <c r="E15" s="365">
        <f t="shared" si="0"/>
        <v>-5.309234501836043E-2</v>
      </c>
      <c r="F15" s="365">
        <f t="shared" si="3"/>
        <v>9.3728370431833019E-2</v>
      </c>
      <c r="G15" s="359">
        <f>+-PRY!F200</f>
        <v>-55702955352</v>
      </c>
      <c r="H15" s="365">
        <f t="shared" si="1"/>
        <v>-3.8564356581435789E-2</v>
      </c>
      <c r="I15" s="365">
        <f t="shared" si="4"/>
        <v>-0.22280941340946869</v>
      </c>
      <c r="J15" s="358" t="s">
        <v>1598</v>
      </c>
      <c r="K15" s="359">
        <f>+-PRY!G200</f>
        <v>-64068065028.206337</v>
      </c>
      <c r="L15" s="359">
        <f>+-PRY!H200</f>
        <v>-77051747590.220627</v>
      </c>
      <c r="M15" s="359">
        <f>+-PRY!I200</f>
        <v>-81415998462.348679</v>
      </c>
      <c r="N15" s="359">
        <f>+-PRY!J200</f>
        <v>-85207296442.773682</v>
      </c>
      <c r="O15" s="359">
        <f>+-PRY!K200</f>
        <v>-88745280732.696564</v>
      </c>
      <c r="P15" s="359">
        <f>+-PRY!L200</f>
        <v>-92207252723.335251</v>
      </c>
    </row>
    <row r="16" spans="1:16" s="354" customFormat="1" ht="24" customHeight="1" x14ac:dyDescent="0.25">
      <c r="A16" s="360" t="s">
        <v>1599</v>
      </c>
      <c r="B16" s="361">
        <f>+B14+B15</f>
        <v>-133765042473</v>
      </c>
      <c r="C16" s="366">
        <f t="shared" si="2"/>
        <v>-0.11236742226866341</v>
      </c>
      <c r="D16" s="361">
        <f t="shared" ref="D16:L16" si="6">+D14+D15</f>
        <v>-136899789599</v>
      </c>
      <c r="E16" s="366">
        <f t="shared" si="0"/>
        <v>-0.10141074725268263</v>
      </c>
      <c r="F16" s="366">
        <f t="shared" si="3"/>
        <v>2.3434726054325727E-2</v>
      </c>
      <c r="G16" s="361">
        <f t="shared" si="6"/>
        <v>-410827398811</v>
      </c>
      <c r="H16" s="366">
        <f t="shared" si="1"/>
        <v>-0.28442466294748014</v>
      </c>
      <c r="I16" s="366">
        <f t="shared" si="4"/>
        <v>2.0009352097207382</v>
      </c>
      <c r="J16" s="360" t="s">
        <v>1599</v>
      </c>
      <c r="K16" s="361">
        <f t="shared" si="6"/>
        <v>-71645024027.96756</v>
      </c>
      <c r="L16" s="361">
        <f t="shared" si="6"/>
        <v>-61710058032.865158</v>
      </c>
      <c r="M16" s="361">
        <f>+M14+M15</f>
        <v>57398366792.296829</v>
      </c>
      <c r="N16" s="361">
        <f>+N14+N15</f>
        <v>-24206577543.94043</v>
      </c>
      <c r="O16" s="361">
        <f>+O14+O15</f>
        <v>-4470682408.0637512</v>
      </c>
      <c r="P16" s="361">
        <f>+P14+P15</f>
        <v>19897299119.120071</v>
      </c>
    </row>
    <row r="17" spans="1:16" s="355" customFormat="1" ht="24" customHeight="1" x14ac:dyDescent="0.25">
      <c r="A17" s="358" t="s">
        <v>1600</v>
      </c>
      <c r="B17" s="359">
        <f>+PRY!D203-PRY!D204</f>
        <v>24434857847</v>
      </c>
      <c r="C17" s="365">
        <f t="shared" si="2"/>
        <v>2.0526154958032616E-2</v>
      </c>
      <c r="D17" s="359">
        <f>+PRY!E203-PRY!E204</f>
        <v>17527054270</v>
      </c>
      <c r="E17" s="365">
        <f t="shared" si="0"/>
        <v>1.2983450711395436E-2</v>
      </c>
      <c r="F17" s="365">
        <f t="shared" si="3"/>
        <v>-0.28270283462476165</v>
      </c>
      <c r="G17" s="359">
        <f>+PRY!F203-PRY!F204</f>
        <v>15827292675</v>
      </c>
      <c r="H17" s="365">
        <f t="shared" si="1"/>
        <v>1.0957575851772676E-2</v>
      </c>
      <c r="I17" s="365">
        <f t="shared" si="4"/>
        <v>-9.6979308035200162E-2</v>
      </c>
      <c r="J17" s="358" t="s">
        <v>1600</v>
      </c>
      <c r="K17" s="359">
        <f>+PRY!G203-PRY!G204</f>
        <v>33122115814.021103</v>
      </c>
      <c r="L17" s="359">
        <f>+PRY!H203-PRY!H204</f>
        <v>185607995721.79825</v>
      </c>
      <c r="M17" s="359">
        <f>+PRY!I203-PRY!I204</f>
        <v>-33476736853.349731</v>
      </c>
      <c r="N17" s="359">
        <f>+PRY!J203-PRY!J204</f>
        <v>17026854982.893547</v>
      </c>
      <c r="O17" s="359">
        <f>+PRY!K203-PRY!K204</f>
        <v>18705257685.092422</v>
      </c>
      <c r="P17" s="359">
        <f>+PRY!L203-PRY!L204</f>
        <v>19961892487.216404</v>
      </c>
    </row>
    <row r="18" spans="1:16" s="354" customFormat="1" ht="24" customHeight="1" x14ac:dyDescent="0.25">
      <c r="A18" s="360" t="s">
        <v>1601</v>
      </c>
      <c r="B18" s="361">
        <f>+B16+B17</f>
        <v>-109330184626</v>
      </c>
      <c r="C18" s="366">
        <f t="shared" si="2"/>
        <v>-9.1841267310630789E-2</v>
      </c>
      <c r="D18" s="361">
        <f t="shared" ref="D18:L18" si="7">+D16+D17</f>
        <v>-119372735329</v>
      </c>
      <c r="E18" s="366">
        <f t="shared" si="0"/>
        <v>-8.8427296541287198E-2</v>
      </c>
      <c r="F18" s="366">
        <f t="shared" si="3"/>
        <v>9.1855243246445228E-2</v>
      </c>
      <c r="G18" s="361">
        <f t="shared" si="7"/>
        <v>-395000106136</v>
      </c>
      <c r="H18" s="366">
        <f t="shared" si="1"/>
        <v>-0.27346708709570744</v>
      </c>
      <c r="I18" s="366">
        <f t="shared" si="4"/>
        <v>2.3089641872354751</v>
      </c>
      <c r="J18" s="360" t="s">
        <v>1601</v>
      </c>
      <c r="K18" s="361">
        <f t="shared" si="7"/>
        <v>-38522908213.946457</v>
      </c>
      <c r="L18" s="361">
        <f t="shared" si="7"/>
        <v>123897937688.93309</v>
      </c>
      <c r="M18" s="361">
        <f>+M16+M17</f>
        <v>23921629938.947098</v>
      </c>
      <c r="N18" s="361">
        <f>+N16+N17</f>
        <v>-7179722561.0468826</v>
      </c>
      <c r="O18" s="361">
        <f>+O16+O17</f>
        <v>14234575277.028671</v>
      </c>
      <c r="P18" s="361">
        <f>+P16+P17</f>
        <v>39859191606.336472</v>
      </c>
    </row>
    <row r="19" spans="1:16" ht="24" customHeight="1" x14ac:dyDescent="0.25">
      <c r="C19" s="367"/>
    </row>
    <row r="20" spans="1:16" ht="25.5" customHeight="1" thickBot="1" x14ac:dyDescent="0.45">
      <c r="A20" s="503" t="s">
        <v>1596</v>
      </c>
      <c r="B20" s="503"/>
      <c r="C20" s="503"/>
      <c r="D20" s="503"/>
      <c r="E20" s="503"/>
      <c r="F20" s="503"/>
      <c r="G20" s="503"/>
      <c r="H20" s="503"/>
      <c r="I20" s="503"/>
      <c r="J20" s="363"/>
      <c r="K20" s="362"/>
      <c r="L20" s="362"/>
    </row>
    <row r="21" spans="1:16" ht="24" customHeight="1" x14ac:dyDescent="0.25"/>
    <row r="22" spans="1:16" s="354" customFormat="1" ht="24" customHeight="1" x14ac:dyDescent="0.25">
      <c r="B22" s="356" t="s">
        <v>1099</v>
      </c>
      <c r="C22" s="364" t="s">
        <v>12</v>
      </c>
      <c r="D22" s="357" t="s">
        <v>1100</v>
      </c>
      <c r="E22" s="364" t="s">
        <v>12</v>
      </c>
      <c r="F22" s="364" t="s">
        <v>1602</v>
      </c>
      <c r="G22" s="357" t="s">
        <v>1101</v>
      </c>
      <c r="H22" s="364" t="s">
        <v>12</v>
      </c>
      <c r="I22" s="364" t="s">
        <v>1602</v>
      </c>
      <c r="J22" s="272"/>
      <c r="K22" s="383" t="str">
        <f t="shared" ref="K22:P22" si="8">+K11</f>
        <v xml:space="preserve">2018 </v>
      </c>
      <c r="L22" s="383" t="str">
        <f t="shared" si="8"/>
        <v xml:space="preserve">2019 </v>
      </c>
      <c r="M22" s="383" t="str">
        <f t="shared" si="8"/>
        <v>2020 P</v>
      </c>
      <c r="N22" s="383" t="str">
        <f t="shared" si="8"/>
        <v>2021 P</v>
      </c>
      <c r="O22" s="383" t="str">
        <f t="shared" si="8"/>
        <v>2022 P</v>
      </c>
      <c r="P22" s="383" t="str">
        <f t="shared" si="8"/>
        <v>2023 P</v>
      </c>
    </row>
    <row r="23" spans="1:16" s="354" customFormat="1" ht="24" customHeight="1" x14ac:dyDescent="0.25">
      <c r="A23" s="360" t="s">
        <v>1603</v>
      </c>
      <c r="B23" s="361">
        <f>+PRY!D226</f>
        <v>190047779441</v>
      </c>
      <c r="C23" s="366">
        <f>+B23/B$23</f>
        <v>1</v>
      </c>
      <c r="D23" s="361">
        <f>+PRY!E226</f>
        <v>233318009664</v>
      </c>
      <c r="E23" s="366">
        <f>+D23/D$23</f>
        <v>1</v>
      </c>
      <c r="F23" s="366">
        <f t="shared" ref="F23:F30" si="9">+D23/B23-1</f>
        <v>0.22768079874583935</v>
      </c>
      <c r="G23" s="361">
        <f>+PRY!F226</f>
        <v>311670526572</v>
      </c>
      <c r="H23" s="366">
        <f t="shared" ref="H23:H30" si="10">+G23/G$23</f>
        <v>1</v>
      </c>
      <c r="I23" s="366">
        <f t="shared" ref="I23:I30" si="11">+G23/D23-1</f>
        <v>0.33581855520212534</v>
      </c>
      <c r="J23" s="360" t="s">
        <v>1603</v>
      </c>
      <c r="K23" s="361">
        <f>+PRY!G226</f>
        <v>357526394806.61145</v>
      </c>
      <c r="L23" s="361">
        <f>+PRY!H226</f>
        <v>536536092767.6153</v>
      </c>
      <c r="M23" s="361">
        <f>+PRY!I226</f>
        <v>562848073534.18335</v>
      </c>
      <c r="N23" s="361">
        <f>+PRY!J226</f>
        <v>630162628866.4082</v>
      </c>
      <c r="O23" s="361">
        <f>+PRY!K226</f>
        <v>670091521881.78174</v>
      </c>
      <c r="P23" s="361">
        <f>+PRY!L226</f>
        <v>825368312425.46118</v>
      </c>
    </row>
    <row r="24" spans="1:16" s="355" customFormat="1" ht="24" customHeight="1" x14ac:dyDescent="0.25">
      <c r="A24" s="368" t="s">
        <v>1576</v>
      </c>
      <c r="B24" s="359">
        <f>+PRY!D227</f>
        <v>10829724787</v>
      </c>
      <c r="C24" s="365">
        <f t="shared" ref="C24:E30" si="12">+B24/B$23</f>
        <v>5.6984221646020697E-2</v>
      </c>
      <c r="D24" s="359">
        <f>+PRY!E227</f>
        <v>20611607335</v>
      </c>
      <c r="E24" s="365">
        <f t="shared" si="12"/>
        <v>8.8341261631207396E-2</v>
      </c>
      <c r="F24" s="365">
        <f t="shared" si="9"/>
        <v>0.90324387187956701</v>
      </c>
      <c r="G24" s="359">
        <f>+PRY!F227</f>
        <v>39587220947</v>
      </c>
      <c r="H24" s="365">
        <f t="shared" si="10"/>
        <v>0.12701624815927159</v>
      </c>
      <c r="I24" s="365">
        <f t="shared" si="11"/>
        <v>0.92062755240723204</v>
      </c>
      <c r="J24" s="368" t="s">
        <v>1576</v>
      </c>
      <c r="K24" s="359">
        <f>+PRY!G227</f>
        <v>61681498714.984261</v>
      </c>
      <c r="L24" s="359">
        <f>+PRY!H227</f>
        <v>218932520833.20761</v>
      </c>
      <c r="M24" s="359">
        <f>+PRY!I227</f>
        <v>253618821251.07599</v>
      </c>
      <c r="N24" s="359">
        <f>+PRY!J227</f>
        <v>339745912220.68298</v>
      </c>
      <c r="O24" s="359">
        <f>+PRY!K227</f>
        <v>397714391707.65704</v>
      </c>
      <c r="P24" s="359">
        <f>+PRY!L227</f>
        <v>572651524857.43738</v>
      </c>
    </row>
    <row r="25" spans="1:16" s="355" customFormat="1" ht="24" customHeight="1" x14ac:dyDescent="0.25">
      <c r="A25" s="368" t="s">
        <v>1604</v>
      </c>
      <c r="B25" s="359">
        <f>+PRY!D228</f>
        <v>112804280817</v>
      </c>
      <c r="C25" s="365">
        <f t="shared" si="12"/>
        <v>0.59355747880242871</v>
      </c>
      <c r="D25" s="359">
        <f>+PRY!E228</f>
        <v>156232780967</v>
      </c>
      <c r="E25" s="365">
        <f t="shared" si="12"/>
        <v>0.66961303669609551</v>
      </c>
      <c r="F25" s="365">
        <f t="shared" si="9"/>
        <v>0.3849898233955602</v>
      </c>
      <c r="G25" s="359">
        <f>+PRY!F228</f>
        <v>226327325388</v>
      </c>
      <c r="H25" s="365">
        <f t="shared" si="10"/>
        <v>0.7261749382507473</v>
      </c>
      <c r="I25" s="365">
        <f t="shared" si="11"/>
        <v>0.44865452683586038</v>
      </c>
      <c r="J25" s="368" t="s">
        <v>1604</v>
      </c>
      <c r="K25" s="359">
        <f>+PRY!G228</f>
        <v>246845823384.32352</v>
      </c>
      <c r="L25" s="359">
        <f>+PRY!H228</f>
        <v>266309966508.59122</v>
      </c>
      <c r="M25" s="359">
        <f>+PRY!I228</f>
        <v>255676308111.1268</v>
      </c>
      <c r="N25" s="359">
        <f>+PRY!J228</f>
        <v>235769877555.76254</v>
      </c>
      <c r="O25" s="359">
        <f>+PRY!K228</f>
        <v>216649904936.67456</v>
      </c>
      <c r="P25" s="359">
        <f>+PRY!L228</f>
        <v>195890015817.12744</v>
      </c>
    </row>
    <row r="26" spans="1:16" s="355" customFormat="1" ht="24" customHeight="1" x14ac:dyDescent="0.25">
      <c r="A26" s="368" t="s">
        <v>1605</v>
      </c>
      <c r="B26" s="359">
        <f>+PRY!D229</f>
        <v>186657194</v>
      </c>
      <c r="C26" s="365">
        <f t="shared" si="12"/>
        <v>9.8215929988251923E-4</v>
      </c>
      <c r="D26" s="359">
        <f>+PRY!E229</f>
        <v>749712579</v>
      </c>
      <c r="E26" s="365">
        <f t="shared" si="12"/>
        <v>3.213264934325717E-3</v>
      </c>
      <c r="F26" s="365">
        <f t="shared" si="9"/>
        <v>3.0165212116067703</v>
      </c>
      <c r="G26" s="359">
        <f>+PRY!F229</f>
        <v>811293776</v>
      </c>
      <c r="H26" s="365">
        <f t="shared" si="10"/>
        <v>2.6030493961788858E-3</v>
      </c>
      <c r="I26" s="365">
        <f t="shared" si="11"/>
        <v>8.2139740915298187E-2</v>
      </c>
      <c r="J26" s="368" t="s">
        <v>1605</v>
      </c>
      <c r="K26" s="359">
        <f>+PRY!G229</f>
        <v>1172787394.4681458</v>
      </c>
      <c r="L26" s="359">
        <f>+PRY!H229</f>
        <v>1446207970.5094631</v>
      </c>
      <c r="M26" s="359">
        <f>+PRY!I229</f>
        <v>1622818770.9330814</v>
      </c>
      <c r="N26" s="359">
        <f>+PRY!J229</f>
        <v>1671926909.047401</v>
      </c>
      <c r="O26" s="359">
        <f>+PRY!K229</f>
        <v>1590689602.896553</v>
      </c>
      <c r="P26" s="359">
        <f>+PRY!L229</f>
        <v>1588782830.0307746</v>
      </c>
    </row>
    <row r="27" spans="1:16" s="354" customFormat="1" ht="24" customHeight="1" x14ac:dyDescent="0.25">
      <c r="A27" s="360" t="s">
        <v>1606</v>
      </c>
      <c r="B27" s="361">
        <f>+PRY!D231</f>
        <v>359546196656</v>
      </c>
      <c r="C27" s="366">
        <f t="shared" si="12"/>
        <v>1.891872652832655</v>
      </c>
      <c r="D27" s="361">
        <f>+PRY!E231</f>
        <v>522189162208</v>
      </c>
      <c r="E27" s="366">
        <f t="shared" si="12"/>
        <v>2.2381005348022716</v>
      </c>
      <c r="F27" s="366">
        <f t="shared" si="9"/>
        <v>0.45235623979527317</v>
      </c>
      <c r="G27" s="361">
        <f>+PRY!F231</f>
        <v>983909878171.19678</v>
      </c>
      <c r="H27" s="366">
        <f t="shared" si="10"/>
        <v>3.1568909931683922</v>
      </c>
      <c r="I27" s="366">
        <f t="shared" si="11"/>
        <v>0.88420202750068322</v>
      </c>
      <c r="J27" s="360" t="s">
        <v>1606</v>
      </c>
      <c r="K27" s="361">
        <f>+PRY!G231</f>
        <v>1068288654619.7548</v>
      </c>
      <c r="L27" s="361">
        <f>+PRY!H231</f>
        <v>1123400414891.8254</v>
      </c>
      <c r="M27" s="361">
        <f>+PRY!I231</f>
        <v>1125790765719.4465</v>
      </c>
      <c r="N27" s="361">
        <f>+PRY!J231</f>
        <v>1200285043612.718</v>
      </c>
      <c r="O27" s="361">
        <f>+PRY!K231</f>
        <v>1195979361351.063</v>
      </c>
      <c r="P27" s="361">
        <f>+PRY!L231</f>
        <v>1187396960288.406</v>
      </c>
    </row>
    <row r="28" spans="1:16" s="354" customFormat="1" ht="24" customHeight="1" x14ac:dyDescent="0.25">
      <c r="A28" s="360" t="s">
        <v>1455</v>
      </c>
      <c r="B28" s="361">
        <f>+PRY!D235</f>
        <v>-169498417215</v>
      </c>
      <c r="C28" s="366">
        <f t="shared" si="12"/>
        <v>-0.89187265283265504</v>
      </c>
      <c r="D28" s="361">
        <f>+PRY!E235</f>
        <v>-288871152544</v>
      </c>
      <c r="E28" s="366">
        <f t="shared" si="12"/>
        <v>-1.2381005348022718</v>
      </c>
      <c r="F28" s="366">
        <f t="shared" si="9"/>
        <v>0.70427050169785277</v>
      </c>
      <c r="G28" s="361">
        <f>+PRY!F235</f>
        <v>-672239351599</v>
      </c>
      <c r="H28" s="366">
        <f t="shared" si="10"/>
        <v>-2.1568909931677607</v>
      </c>
      <c r="I28" s="366">
        <f t="shared" si="11"/>
        <v>1.3271252448671089</v>
      </c>
      <c r="J28" s="360" t="s">
        <v>1455</v>
      </c>
      <c r="K28" s="361">
        <f>+PRY!G235</f>
        <v>-710762259812.94641</v>
      </c>
      <c r="L28" s="361">
        <f>+PRY!H235</f>
        <v>-586864322124.01331</v>
      </c>
      <c r="M28" s="361">
        <f>+PRY!I235</f>
        <v>-562942692185.06616</v>
      </c>
      <c r="N28" s="361">
        <f>+PRY!J235</f>
        <v>-570122414746.11304</v>
      </c>
      <c r="O28" s="361">
        <f>+PRY!K235</f>
        <v>-525887839469.08435</v>
      </c>
      <c r="P28" s="361">
        <f>+PRY!L235</f>
        <v>-362028647862.74786</v>
      </c>
    </row>
    <row r="29" spans="1:16" s="355" customFormat="1" ht="24" customHeight="1" x14ac:dyDescent="0.25">
      <c r="A29" s="358" t="s">
        <v>1607</v>
      </c>
      <c r="B29" s="359">
        <f>+PRY!D236</f>
        <v>81852000000</v>
      </c>
      <c r="C29" s="365">
        <f t="shared" si="12"/>
        <v>0.43069169364018173</v>
      </c>
      <c r="D29" s="359">
        <f>+PRY!E236</f>
        <v>81852000000</v>
      </c>
      <c r="E29" s="365">
        <f t="shared" si="12"/>
        <v>0.35081732489435608</v>
      </c>
      <c r="F29" s="365">
        <f t="shared" si="9"/>
        <v>0</v>
      </c>
      <c r="G29" s="359">
        <f>+PRY!F236</f>
        <v>81852000000</v>
      </c>
      <c r="H29" s="365">
        <f t="shared" si="10"/>
        <v>0.26262348544879527</v>
      </c>
      <c r="I29" s="365">
        <f t="shared" si="11"/>
        <v>0</v>
      </c>
      <c r="J29" s="358" t="s">
        <v>1607</v>
      </c>
      <c r="K29" s="359">
        <f>+PRY!G236</f>
        <v>81852000000</v>
      </c>
      <c r="L29" s="359">
        <f>+PRY!H236</f>
        <v>81852000000</v>
      </c>
      <c r="M29" s="359">
        <f>+PRY!I236</f>
        <v>81852000000</v>
      </c>
      <c r="N29" s="359">
        <f>+PRY!J236</f>
        <v>81852000000</v>
      </c>
      <c r="O29" s="359">
        <f>+PRY!K236</f>
        <v>111852000000</v>
      </c>
      <c r="P29" s="359">
        <f>+PRY!L236</f>
        <v>235852000000</v>
      </c>
    </row>
    <row r="30" spans="1:16" s="355" customFormat="1" ht="24" customHeight="1" x14ac:dyDescent="0.25">
      <c r="A30" s="358" t="s">
        <v>1608</v>
      </c>
      <c r="B30" s="359">
        <f>+PRY!D241+PRY!D242</f>
        <v>-251350417215</v>
      </c>
      <c r="C30" s="365">
        <f t="shared" si="12"/>
        <v>-1.3225643464728369</v>
      </c>
      <c r="D30" s="359">
        <f>+PRY!E241+PRY!E242</f>
        <v>-370723152544</v>
      </c>
      <c r="E30" s="365">
        <f t="shared" si="12"/>
        <v>-1.5889178596966278</v>
      </c>
      <c r="F30" s="365">
        <f t="shared" si="9"/>
        <v>0.47492555075765397</v>
      </c>
      <c r="G30" s="359">
        <f>+PRY!F241+PRY!F242</f>
        <v>-765723258680</v>
      </c>
      <c r="H30" s="365">
        <f t="shared" si="10"/>
        <v>-2.4568356434021292</v>
      </c>
      <c r="I30" s="365">
        <f t="shared" si="11"/>
        <v>1.0654853990785447</v>
      </c>
      <c r="J30" s="358" t="s">
        <v>1608</v>
      </c>
      <c r="K30" s="359">
        <f>+PRY!G241+PRY!G242</f>
        <v>-804246166893.94641</v>
      </c>
      <c r="L30" s="359">
        <f>+PRY!H241+PRY!H242</f>
        <v>-680348229205.01331</v>
      </c>
      <c r="M30" s="359">
        <f>+PRY!I241+PRY!I242</f>
        <v>-656426599266.06616</v>
      </c>
      <c r="N30" s="359">
        <f>+PRY!J241+PRY!J242</f>
        <v>-663606321827.11304</v>
      </c>
      <c r="O30" s="359">
        <f>+PRY!K241+PRY!K242</f>
        <v>-649371746550.08435</v>
      </c>
      <c r="P30" s="359">
        <f>+PRY!L241+PRY!L242</f>
        <v>-609512554943.74792</v>
      </c>
    </row>
    <row r="33" spans="1:21" ht="25.5" customHeight="1" thickBot="1" x14ac:dyDescent="0.45">
      <c r="A33" s="503" t="s">
        <v>1609</v>
      </c>
      <c r="B33" s="503"/>
      <c r="C33" s="503"/>
      <c r="D33" s="503"/>
      <c r="E33" s="503"/>
      <c r="F33" s="503"/>
      <c r="G33" s="503"/>
      <c r="H33" s="503"/>
      <c r="I33" s="503"/>
      <c r="J33" s="363"/>
      <c r="K33" s="362"/>
      <c r="L33" s="362"/>
    </row>
    <row r="34" spans="1:21" ht="24" customHeight="1" x14ac:dyDescent="0.25"/>
    <row r="35" spans="1:21" s="377" customFormat="1" ht="24" customHeight="1" x14ac:dyDescent="0.3">
      <c r="A35" s="374" t="s">
        <v>1603</v>
      </c>
      <c r="B35" s="374"/>
      <c r="C35" s="375"/>
      <c r="D35" s="374"/>
      <c r="E35" s="376"/>
      <c r="F35" s="376"/>
      <c r="H35" s="378"/>
      <c r="I35" s="378"/>
      <c r="J35" s="378"/>
    </row>
    <row r="36" spans="1:21" s="372" customFormat="1" ht="24" customHeight="1" x14ac:dyDescent="0.3">
      <c r="A36" s="373" t="s">
        <v>1576</v>
      </c>
      <c r="B36" s="369" t="s">
        <v>1610</v>
      </c>
      <c r="C36" s="370"/>
      <c r="D36" s="369"/>
      <c r="E36" s="371"/>
      <c r="F36" s="371"/>
      <c r="H36" s="371"/>
      <c r="I36" s="371"/>
      <c r="J36" s="371"/>
    </row>
    <row r="37" spans="1:21" s="372" customFormat="1" ht="24" customHeight="1" x14ac:dyDescent="0.3">
      <c r="A37" s="373" t="s">
        <v>1604</v>
      </c>
      <c r="B37" s="369" t="s">
        <v>1611</v>
      </c>
      <c r="C37" s="370"/>
      <c r="D37" s="369"/>
      <c r="E37" s="371"/>
      <c r="F37" s="371"/>
      <c r="H37" s="371"/>
      <c r="I37" s="371"/>
      <c r="J37" s="371"/>
    </row>
    <row r="38" spans="1:21" s="377" customFormat="1" ht="24" customHeight="1" x14ac:dyDescent="0.3">
      <c r="A38" s="374" t="s">
        <v>1455</v>
      </c>
      <c r="B38" s="374" t="s">
        <v>1612</v>
      </c>
      <c r="C38" s="375"/>
      <c r="D38" s="374"/>
      <c r="E38" s="376"/>
      <c r="F38" s="376"/>
      <c r="H38" s="378"/>
      <c r="I38" s="378"/>
      <c r="J38" s="378"/>
    </row>
    <row r="39" spans="1:21" s="372" customFormat="1" ht="24" customHeight="1" x14ac:dyDescent="0.25">
      <c r="C39" s="371"/>
      <c r="E39" s="371"/>
      <c r="F39" s="371"/>
      <c r="H39" s="371"/>
      <c r="I39" s="371"/>
      <c r="J39" s="371"/>
    </row>
    <row r="40" spans="1:21" s="377" customFormat="1" ht="24" customHeight="1" x14ac:dyDescent="0.3">
      <c r="A40" s="374" t="s">
        <v>1613</v>
      </c>
      <c r="B40" s="374"/>
      <c r="C40" s="375"/>
      <c r="D40" s="374"/>
      <c r="E40" s="376"/>
      <c r="F40" s="376"/>
      <c r="H40" s="378"/>
      <c r="I40" s="378"/>
      <c r="J40" s="378"/>
    </row>
    <row r="41" spans="1:21" s="372" customFormat="1" ht="24" customHeight="1" x14ac:dyDescent="0.3">
      <c r="A41" s="373" t="s">
        <v>1570</v>
      </c>
      <c r="B41" s="369" t="s">
        <v>1627</v>
      </c>
      <c r="C41" s="370"/>
      <c r="D41" s="369"/>
      <c r="E41" s="371"/>
      <c r="F41" s="371"/>
      <c r="H41" s="371"/>
      <c r="I41" s="371"/>
      <c r="J41" s="371"/>
    </row>
    <row r="42" spans="1:21" s="372" customFormat="1" ht="24" customHeight="1" x14ac:dyDescent="0.3">
      <c r="A42" s="373" t="s">
        <v>1571</v>
      </c>
      <c r="B42" s="369" t="s">
        <v>1614</v>
      </c>
      <c r="C42" s="370"/>
      <c r="D42" s="369"/>
      <c r="E42" s="371"/>
      <c r="F42" s="371"/>
      <c r="H42" s="371"/>
      <c r="I42" s="371"/>
      <c r="J42" s="371"/>
    </row>
    <row r="43" spans="1:21" s="377" customFormat="1" ht="24" customHeight="1" x14ac:dyDescent="0.3">
      <c r="A43" s="374" t="s">
        <v>1598</v>
      </c>
      <c r="B43" s="374" t="s">
        <v>1615</v>
      </c>
      <c r="C43" s="375"/>
      <c r="D43" s="374"/>
      <c r="E43" s="376"/>
      <c r="F43" s="376"/>
      <c r="H43" s="378"/>
      <c r="I43" s="378"/>
      <c r="J43" s="378"/>
    </row>
    <row r="44" spans="1:21" ht="24" customHeight="1" x14ac:dyDescent="0.25"/>
    <row r="45" spans="1:21" ht="24" customHeight="1" x14ac:dyDescent="0.25"/>
    <row r="46" spans="1:21" ht="24" customHeight="1" x14ac:dyDescent="0.25">
      <c r="C46"/>
      <c r="E46"/>
      <c r="F46"/>
      <c r="H46"/>
      <c r="I46"/>
      <c r="J46"/>
      <c r="N46" t="s">
        <v>1484</v>
      </c>
      <c r="O46" t="s">
        <v>1485</v>
      </c>
      <c r="P46" t="s">
        <v>1486</v>
      </c>
      <c r="Q46" s="379" t="s">
        <v>1487</v>
      </c>
      <c r="R46" s="379" t="s">
        <v>1488</v>
      </c>
      <c r="T46" s="272"/>
      <c r="U46" s="272"/>
    </row>
    <row r="47" spans="1:21" s="377" customFormat="1" ht="24" customHeight="1" x14ac:dyDescent="0.3">
      <c r="M47" s="380" t="s">
        <v>1613</v>
      </c>
      <c r="N47" s="380">
        <f>1-PRY!G199</f>
        <v>1.0047402876446143</v>
      </c>
      <c r="O47" s="380">
        <f>1-PRY!H199</f>
        <v>0.99109487708809907</v>
      </c>
      <c r="P47" s="380">
        <f>1-PRY!I199</f>
        <v>0.9250041880831632</v>
      </c>
      <c r="Q47" s="381">
        <f>1-PRY!J199</f>
        <v>0.96815009866866231</v>
      </c>
      <c r="R47" s="381">
        <f>1-PRY!K199</f>
        <v>0.95758147992967968</v>
      </c>
      <c r="T47" s="378"/>
      <c r="U47" s="378"/>
    </row>
  </sheetData>
  <mergeCells count="3">
    <mergeCell ref="A33:I33"/>
    <mergeCell ref="A9:I9"/>
    <mergeCell ref="A20:I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59999389629810485"/>
  </sheetPr>
  <dimension ref="A1:O61"/>
  <sheetViews>
    <sheetView showGridLines="0" zoomScale="123" workbookViewId="0">
      <pane xSplit="2" ySplit="3" topLeftCell="C7" activePane="bottomRight" state="frozen"/>
      <selection pane="topRight" activeCell="C1" sqref="C1"/>
      <selection pane="bottomLeft" activeCell="A4" sqref="A4"/>
      <selection pane="bottomRight" activeCell="E9" sqref="E9"/>
    </sheetView>
  </sheetViews>
  <sheetFormatPr baseColWidth="10" defaultColWidth="11.42578125" defaultRowHeight="15" x14ac:dyDescent="0.25"/>
  <cols>
    <col min="1" max="1" width="16.5703125" style="1" customWidth="1"/>
    <col min="2" max="3" width="11.5703125" style="1" customWidth="1"/>
    <col min="4" max="13" width="11.42578125" style="1"/>
    <col min="14" max="14" width="18.28515625" style="1" bestFit="1" customWidth="1"/>
    <col min="15" max="16384" width="11.42578125" style="1"/>
  </cols>
  <sheetData>
    <row r="1" spans="1:15" x14ac:dyDescent="0.25">
      <c r="A1" s="2" t="s">
        <v>1577</v>
      </c>
      <c r="E1" s="492"/>
    </row>
    <row r="3" spans="1:15" s="2" customFormat="1" x14ac:dyDescent="0.25">
      <c r="A3" s="2" t="s">
        <v>956</v>
      </c>
      <c r="C3" s="3" t="str">
        <f>+PRY!G6</f>
        <v xml:space="preserve">2018 </v>
      </c>
      <c r="D3" s="3" t="str">
        <f>+PRY!H6</f>
        <v xml:space="preserve">2019 </v>
      </c>
      <c r="E3" s="3" t="str">
        <f>+PRY!I6</f>
        <v>2020 P</v>
      </c>
      <c r="F3" s="3" t="str">
        <f>+PRY!J6</f>
        <v>2021 P</v>
      </c>
      <c r="G3" s="3" t="str">
        <f>+PRY!K6</f>
        <v>2022 P</v>
      </c>
      <c r="H3" s="3" t="str">
        <f>+PRY!L6</f>
        <v>2023 P</v>
      </c>
      <c r="I3" s="3" t="str">
        <f>+PRY!M6</f>
        <v>2024 P</v>
      </c>
      <c r="J3" s="3" t="str">
        <f>+PRY!N6</f>
        <v>2025 P</v>
      </c>
      <c r="K3" s="3" t="str">
        <f>+PRY!O6</f>
        <v>2026 P</v>
      </c>
      <c r="L3" s="3" t="str">
        <f>+PRY!P6</f>
        <v>2027 P</v>
      </c>
      <c r="M3" s="3" t="str">
        <f>+PRY!Q6</f>
        <v>2028 P</v>
      </c>
      <c r="N3" s="3" t="str">
        <f>+PRY!R6</f>
        <v>2029 P</v>
      </c>
      <c r="O3" s="3" t="str">
        <f>+PRY!S6</f>
        <v>2030 P</v>
      </c>
    </row>
    <row r="5" spans="1:15" x14ac:dyDescent="0.25">
      <c r="A5" s="1" t="s">
        <v>1620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</row>
    <row r="6" spans="1:15" x14ac:dyDescent="0.25">
      <c r="A6" s="4"/>
      <c r="B6" s="4" t="s">
        <v>11</v>
      </c>
      <c r="C6" s="9">
        <f>+PRY!G63+PRY!G64</f>
        <v>1525543000000</v>
      </c>
      <c r="D6" s="9">
        <f>+PRY!H63+PRY!H64</f>
        <v>1644091496083</v>
      </c>
      <c r="E6" s="9">
        <f>+PRY!I63+PRY!I64</f>
        <v>1768845158805.7781</v>
      </c>
      <c r="F6" s="9">
        <f>+PRY!J63+PRY!J64</f>
        <v>1831020066137.801</v>
      </c>
      <c r="G6" s="9">
        <f>+PRY!K63+PRY!K64</f>
        <v>1895380421462.5444</v>
      </c>
      <c r="H6" s="9">
        <f>+PRY!L63+PRY!L64</f>
        <v>1962003043276.9526</v>
      </c>
      <c r="I6" s="9">
        <f>+PRY!M63+PRY!M64</f>
        <v>2030967450248.1372</v>
      </c>
      <c r="J6" s="9">
        <f>+PRY!N63+PRY!N64</f>
        <v>2102355956124.3591</v>
      </c>
      <c r="K6" s="9">
        <f>+PRY!O63+PRY!O64</f>
        <v>2176253767982.1299</v>
      </c>
      <c r="L6" s="9">
        <f>+PRY!P63+PRY!P64</f>
        <v>2252749087926.7017</v>
      </c>
      <c r="M6" s="9">
        <f>+PRY!Q63+PRY!Q64</f>
        <v>2264012833366.335</v>
      </c>
      <c r="N6" s="9">
        <f>+PRY!R63+PRY!R64</f>
        <v>0</v>
      </c>
      <c r="O6" s="9">
        <f>+PRY!S63+PRY!S64</f>
        <v>0</v>
      </c>
    </row>
    <row r="7" spans="1:15" x14ac:dyDescent="0.25">
      <c r="A7" s="298" t="s">
        <v>1617</v>
      </c>
      <c r="B7" s="4"/>
      <c r="C7" s="9">
        <f>+C6-C8</f>
        <v>1452737000000</v>
      </c>
      <c r="D7" s="9">
        <f t="shared" ref="D7:O7" si="0">+D6-D8</f>
        <v>1557143857661</v>
      </c>
      <c r="E7" s="9">
        <f t="shared" si="0"/>
        <v>1677237126964.3589</v>
      </c>
      <c r="F7" s="9">
        <f t="shared" si="0"/>
        <v>1735747713022.7251</v>
      </c>
      <c r="G7" s="9">
        <f t="shared" si="0"/>
        <v>1797249897754.0161</v>
      </c>
      <c r="H7" s="9">
        <f t="shared" si="0"/>
        <v>1860928603857.1685</v>
      </c>
      <c r="I7" s="9">
        <f t="shared" si="0"/>
        <v>1926860777645.7595</v>
      </c>
      <c r="J7" s="9">
        <f t="shared" si="0"/>
        <v>1995126083343.9102</v>
      </c>
      <c r="K7" s="9">
        <f t="shared" si="0"/>
        <v>2065806999018.2676</v>
      </c>
      <c r="L7" s="9">
        <f t="shared" si="0"/>
        <v>2138988915893.9233</v>
      </c>
      <c r="M7" s="9">
        <f t="shared" si="0"/>
        <v>2146839856172.5732</v>
      </c>
      <c r="N7" s="9">
        <f t="shared" si="0"/>
        <v>0</v>
      </c>
      <c r="O7" s="9">
        <f t="shared" si="0"/>
        <v>0</v>
      </c>
    </row>
    <row r="8" spans="1:15" x14ac:dyDescent="0.25">
      <c r="A8" s="298" t="s">
        <v>1616</v>
      </c>
      <c r="B8" s="4"/>
      <c r="C8" s="9">
        <f>+PRY!G63</f>
        <v>72806000000</v>
      </c>
      <c r="D8" s="9">
        <f>+PRY!H63</f>
        <v>86947638422</v>
      </c>
      <c r="E8" s="9">
        <f>+PRY!I63</f>
        <v>91608031841.419205</v>
      </c>
      <c r="F8" s="9">
        <f>+PRY!J63</f>
        <v>95272353115.075974</v>
      </c>
      <c r="G8" s="9">
        <f>+PRY!K63</f>
        <v>98130523708.528259</v>
      </c>
      <c r="H8" s="9">
        <f>+PRY!L63</f>
        <v>101074439419.7841</v>
      </c>
      <c r="I8" s="9">
        <f>+PRY!M63</f>
        <v>104106672602.37762</v>
      </c>
      <c r="J8" s="9">
        <f>+PRY!N63</f>
        <v>107229872780.44896</v>
      </c>
      <c r="K8" s="9">
        <f>+PRY!O63</f>
        <v>110446768963.86243</v>
      </c>
      <c r="L8" s="9">
        <f>+PRY!P63</f>
        <v>113760172032.77831</v>
      </c>
      <c r="M8" s="9">
        <f>+PRY!Q63</f>
        <v>117172977193.76166</v>
      </c>
    </row>
    <row r="9" spans="1:15" x14ac:dyDescent="0.25">
      <c r="A9" s="4" t="s">
        <v>1569</v>
      </c>
      <c r="B9" s="4" t="s">
        <v>11</v>
      </c>
      <c r="C9" s="384">
        <v>1519660644208.9824</v>
      </c>
      <c r="D9" s="384">
        <f>+D10+D11</f>
        <v>1644091496083</v>
      </c>
      <c r="E9" s="384">
        <f>(D9*(1+E18))*(1+PRY!J273)</f>
        <v>1768845158805.7781</v>
      </c>
      <c r="F9" s="384">
        <f>(E9*(1+F18))*(1+PRY!K273)</f>
        <v>1831020066137.801</v>
      </c>
      <c r="G9" s="384">
        <f>(F9*(1+G18))*(1+PRY!L273)</f>
        <v>1895380421462.5444</v>
      </c>
      <c r="H9" s="384">
        <f>(G9*(1+H18))*(1+PRY!M273)</f>
        <v>1962003043276.9526</v>
      </c>
      <c r="I9" s="384">
        <f>(H9*(1+I18))*(1+PRY!N273)</f>
        <v>2030967450248.1372</v>
      </c>
      <c r="J9" s="384">
        <f>(I9*(1+J18))*(1+PRY!O273)</f>
        <v>2102355956124.3591</v>
      </c>
      <c r="K9" s="384">
        <f>(J9*(1+K18))*(1+PRY!P273)</f>
        <v>2176253767982.1301</v>
      </c>
      <c r="L9" s="384">
        <f>(K9*(1+L18))*(1+PRY!Q273)</f>
        <v>2252749087926.7017</v>
      </c>
      <c r="M9" s="384">
        <f>(L9*(1+M18))*(1+PRY!R273)</f>
        <v>2264012833366.335</v>
      </c>
    </row>
    <row r="10" spans="1:15" x14ac:dyDescent="0.25">
      <c r="A10" s="298" t="s">
        <v>1617</v>
      </c>
      <c r="B10" s="4"/>
      <c r="C10" s="384">
        <f>+C9-C11</f>
        <v>1454197794332.5679</v>
      </c>
      <c r="D10" s="384">
        <v>1557143857661</v>
      </c>
      <c r="E10" s="384">
        <f t="shared" ref="E10:M10" si="1">+E9-E11</f>
        <v>1677237126964.3589</v>
      </c>
      <c r="F10" s="384">
        <f t="shared" si="1"/>
        <v>1735747713022.7251</v>
      </c>
      <c r="G10" s="384">
        <f t="shared" si="1"/>
        <v>1797249897754.0161</v>
      </c>
      <c r="H10" s="384">
        <f t="shared" si="1"/>
        <v>1860928603857.1685</v>
      </c>
      <c r="I10" s="384">
        <f t="shared" si="1"/>
        <v>1926860777645.7595</v>
      </c>
      <c r="J10" s="384">
        <f t="shared" si="1"/>
        <v>1995126083343.9102</v>
      </c>
      <c r="K10" s="384">
        <f t="shared" si="1"/>
        <v>2065806999018.2676</v>
      </c>
      <c r="L10" s="384">
        <f t="shared" si="1"/>
        <v>2138988915893.9233</v>
      </c>
      <c r="M10" s="384">
        <f t="shared" si="1"/>
        <v>2146839856172.5732</v>
      </c>
    </row>
    <row r="11" spans="1:15" x14ac:dyDescent="0.25">
      <c r="A11" s="298" t="s">
        <v>1616</v>
      </c>
      <c r="B11" s="4"/>
      <c r="C11" s="384">
        <f>+[4]PYG!I5*1000</f>
        <v>65462849876.414673</v>
      </c>
      <c r="D11" s="384">
        <v>86947638422</v>
      </c>
      <c r="E11" s="384">
        <f>+D11*(1+PRY!I273)</f>
        <v>91608031841.419205</v>
      </c>
      <c r="F11" s="384">
        <f>+E11*(1+PRY!J273)</f>
        <v>95272353115.075974</v>
      </c>
      <c r="G11" s="384">
        <f>+F11*(1+PRY!K273)</f>
        <v>98130523708.528259</v>
      </c>
      <c r="H11" s="384">
        <f>+G11*(1+PRY!L273)</f>
        <v>101074439419.7841</v>
      </c>
      <c r="I11" s="384">
        <f>+H11*(1+PRY!M273)</f>
        <v>104106672602.37762</v>
      </c>
      <c r="J11" s="384">
        <f>+I11*(1+PRY!N273)</f>
        <v>107229872780.44896</v>
      </c>
      <c r="K11" s="384">
        <f>+J11*(1+PRY!O273)</f>
        <v>110446768963.86243</v>
      </c>
      <c r="L11" s="384">
        <f>+K11*(1+PRY!P273)</f>
        <v>113760172032.77831</v>
      </c>
      <c r="M11" s="384">
        <f>+L11*(1+PRY!Q273)</f>
        <v>117172977193.76166</v>
      </c>
    </row>
    <row r="12" spans="1:15" x14ac:dyDescent="0.25">
      <c r="A12" s="4" t="s">
        <v>1618</v>
      </c>
      <c r="C12" s="6">
        <f>+(C9-C6)/C6</f>
        <v>-3.855909529274218E-3</v>
      </c>
      <c r="D12" s="6">
        <f t="shared" ref="D12:K12" si="2">+(D9-D6)/D6</f>
        <v>0</v>
      </c>
      <c r="E12" s="6">
        <f t="shared" si="2"/>
        <v>0</v>
      </c>
      <c r="F12" s="6">
        <f t="shared" si="2"/>
        <v>0</v>
      </c>
      <c r="G12" s="6">
        <f t="shared" si="2"/>
        <v>0</v>
      </c>
      <c r="H12" s="6">
        <f t="shared" si="2"/>
        <v>0</v>
      </c>
      <c r="I12" s="6">
        <f t="shared" si="2"/>
        <v>0</v>
      </c>
      <c r="J12" s="6">
        <f t="shared" si="2"/>
        <v>0</v>
      </c>
      <c r="K12" s="6">
        <f t="shared" si="2"/>
        <v>1.1218389536730016E-16</v>
      </c>
      <c r="L12" s="9"/>
      <c r="M12" s="9"/>
      <c r="N12" s="390"/>
    </row>
    <row r="13" spans="1:15" x14ac:dyDescent="0.25">
      <c r="A13" s="4"/>
      <c r="C13" s="6"/>
      <c r="D13" s="6"/>
      <c r="E13" s="6"/>
      <c r="F13" s="6"/>
      <c r="G13" s="6"/>
      <c r="H13" s="6"/>
      <c r="I13" s="6"/>
      <c r="J13" s="6"/>
      <c r="K13" s="6"/>
      <c r="L13" s="9"/>
      <c r="M13" s="9"/>
      <c r="N13" s="6"/>
    </row>
    <row r="14" spans="1:15" x14ac:dyDescent="0.25">
      <c r="A14" s="1" t="s">
        <v>20</v>
      </c>
      <c r="C14" s="9"/>
      <c r="D14" s="8"/>
      <c r="E14" s="9"/>
      <c r="F14" s="9"/>
      <c r="G14" s="9"/>
      <c r="H14" s="9"/>
      <c r="I14" s="9"/>
      <c r="J14" s="9"/>
      <c r="K14" s="9"/>
      <c r="L14" s="9"/>
      <c r="M14" s="9"/>
    </row>
    <row r="15" spans="1:15" s="451" customFormat="1" x14ac:dyDescent="0.25">
      <c r="A15" s="450"/>
      <c r="B15" s="450" t="s">
        <v>1574</v>
      </c>
      <c r="C15" s="451">
        <v>1700594</v>
      </c>
      <c r="D15" s="451">
        <v>1666224</v>
      </c>
      <c r="E15" s="451">
        <f>+E16+E17</f>
        <v>1697716.8329999999</v>
      </c>
      <c r="F15" s="451">
        <f>+F16+F17</f>
        <v>1695484.1071649997</v>
      </c>
      <c r="G15" s="451">
        <f t="shared" ref="G15:M15" si="3">+F15*(1+G22)</f>
        <v>1703961.5277008244</v>
      </c>
      <c r="H15" s="451">
        <f t="shared" si="3"/>
        <v>1712481.3353393283</v>
      </c>
      <c r="I15" s="451">
        <f t="shared" si="3"/>
        <v>1721043.7420160247</v>
      </c>
      <c r="J15" s="451">
        <f t="shared" si="3"/>
        <v>1729648.9607261047</v>
      </c>
      <c r="K15" s="451">
        <f t="shared" si="3"/>
        <v>1738297.205529735</v>
      </c>
      <c r="L15" s="451">
        <f t="shared" si="3"/>
        <v>1746988.6915573834</v>
      </c>
      <c r="M15" s="451">
        <f t="shared" si="3"/>
        <v>1755723.6350151701</v>
      </c>
    </row>
    <row r="16" spans="1:15" x14ac:dyDescent="0.25">
      <c r="A16" s="298" t="s">
        <v>1617</v>
      </c>
      <c r="B16" s="4"/>
      <c r="C16" s="1">
        <v>1587742</v>
      </c>
      <c r="D16" s="1">
        <v>1540314</v>
      </c>
      <c r="E16" s="1">
        <f t="shared" ref="E16:M16" si="4">+D16*(1+E18)</f>
        <v>1593454.8329999999</v>
      </c>
      <c r="F16" s="1">
        <f t="shared" si="4"/>
        <v>1601422.1071649997</v>
      </c>
      <c r="G16" s="1">
        <f t="shared" si="4"/>
        <v>1609429.2177008246</v>
      </c>
      <c r="H16" s="1">
        <f t="shared" si="4"/>
        <v>1617476.3637893286</v>
      </c>
      <c r="I16" s="1">
        <f t="shared" si="4"/>
        <v>1625563.7456082751</v>
      </c>
      <c r="J16" s="1">
        <f t="shared" si="4"/>
        <v>1633691.5643363162</v>
      </c>
      <c r="K16" s="1">
        <f t="shared" si="4"/>
        <v>1641860.0221579976</v>
      </c>
      <c r="L16" s="1">
        <f t="shared" si="4"/>
        <v>1650069.3222687873</v>
      </c>
      <c r="M16" s="1">
        <f t="shared" si="4"/>
        <v>1658319.6688801311</v>
      </c>
    </row>
    <row r="17" spans="1:14" x14ac:dyDescent="0.25">
      <c r="A17" s="298" t="s">
        <v>1616</v>
      </c>
      <c r="B17" s="4"/>
      <c r="C17" s="1">
        <f>+C15-C16</f>
        <v>112852</v>
      </c>
      <c r="D17" s="1">
        <f>+D15-D16</f>
        <v>125910</v>
      </c>
      <c r="E17" s="1">
        <v>104262</v>
      </c>
      <c r="F17" s="1">
        <v>94062</v>
      </c>
      <c r="G17" s="1">
        <v>104262</v>
      </c>
      <c r="H17" s="1">
        <v>114462</v>
      </c>
      <c r="I17" s="1">
        <f t="shared" ref="I17:M17" si="5">+H17*(1+I18)</f>
        <v>115034.30999999998</v>
      </c>
      <c r="J17" s="1">
        <f t="shared" si="5"/>
        <v>115609.48154999997</v>
      </c>
      <c r="K17" s="1">
        <f t="shared" si="5"/>
        <v>116187.52895774995</v>
      </c>
      <c r="L17" s="1">
        <f t="shared" si="5"/>
        <v>116768.46660253868</v>
      </c>
      <c r="M17" s="1">
        <f t="shared" si="5"/>
        <v>117352.30893555137</v>
      </c>
    </row>
    <row r="18" spans="1:14" x14ac:dyDescent="0.25">
      <c r="A18" s="4" t="s">
        <v>1572</v>
      </c>
      <c r="B18" s="4"/>
      <c r="D18" s="6">
        <v>0</v>
      </c>
      <c r="E18" s="6">
        <v>3.4500000000000003E-2</v>
      </c>
      <c r="F18" s="6">
        <v>5.0000000000000001E-3</v>
      </c>
      <c r="G18" s="6">
        <v>5.0000000000000001E-3</v>
      </c>
      <c r="H18" s="6">
        <v>5.0000000000000001E-3</v>
      </c>
      <c r="I18" s="6">
        <v>5.0000000000000001E-3</v>
      </c>
      <c r="J18" s="6">
        <v>5.0000000000000001E-3</v>
      </c>
      <c r="K18" s="6">
        <v>5.0000000000000001E-3</v>
      </c>
      <c r="L18" s="6">
        <v>5.0000000000000001E-3</v>
      </c>
      <c r="M18" s="6">
        <v>5.0000000000000001E-3</v>
      </c>
    </row>
    <row r="19" spans="1:14" x14ac:dyDescent="0.25">
      <c r="A19" s="4" t="s">
        <v>1569</v>
      </c>
      <c r="B19" s="4" t="s">
        <v>1574</v>
      </c>
      <c r="C19" s="385">
        <f>+[4]INGRESOS!F39+[4]INGRESOS!F93</f>
        <v>1705275.4461735599</v>
      </c>
      <c r="D19" s="385">
        <f>+D20+D21</f>
        <v>1666224</v>
      </c>
      <c r="E19" s="385">
        <f>+E15</f>
        <v>1697716.8329999999</v>
      </c>
      <c r="F19" s="385">
        <f>+F20+F21</f>
        <v>1695484.1071649997</v>
      </c>
      <c r="G19" s="385">
        <f>+G20+G21</f>
        <v>1713691.2177008246</v>
      </c>
      <c r="H19" s="385">
        <f t="shared" ref="H19:M19" si="6">+H20+H21</f>
        <v>1731938.3637893286</v>
      </c>
      <c r="I19" s="385">
        <f t="shared" si="6"/>
        <v>1740598.0556082751</v>
      </c>
      <c r="J19" s="385">
        <f t="shared" si="6"/>
        <v>1749301.0458863161</v>
      </c>
      <c r="K19" s="385">
        <f t="shared" si="6"/>
        <v>1758047.5511157475</v>
      </c>
      <c r="L19" s="385">
        <f t="shared" si="6"/>
        <v>1766837.788871326</v>
      </c>
      <c r="M19" s="385">
        <f t="shared" si="6"/>
        <v>1775671.9778156825</v>
      </c>
      <c r="N19" s="1">
        <f>SUM(C19:M19)</f>
        <v>19000786.387126062</v>
      </c>
    </row>
    <row r="20" spans="1:14" x14ac:dyDescent="0.25">
      <c r="A20" s="298" t="s">
        <v>1617</v>
      </c>
      <c r="B20" s="4"/>
      <c r="C20" s="385">
        <f>+C16</f>
        <v>1587742</v>
      </c>
      <c r="D20" s="385">
        <f t="shared" ref="D20:M20" si="7">+D16</f>
        <v>1540314</v>
      </c>
      <c r="E20" s="385">
        <f t="shared" si="7"/>
        <v>1593454.8329999999</v>
      </c>
      <c r="F20" s="385">
        <f t="shared" si="7"/>
        <v>1601422.1071649997</v>
      </c>
      <c r="G20" s="385">
        <f t="shared" si="7"/>
        <v>1609429.2177008246</v>
      </c>
      <c r="H20" s="385">
        <f t="shared" si="7"/>
        <v>1617476.3637893286</v>
      </c>
      <c r="I20" s="385">
        <f t="shared" si="7"/>
        <v>1625563.7456082751</v>
      </c>
      <c r="J20" s="385">
        <f t="shared" si="7"/>
        <v>1633691.5643363162</v>
      </c>
      <c r="K20" s="385">
        <f t="shared" si="7"/>
        <v>1641860.0221579976</v>
      </c>
      <c r="L20" s="385">
        <f t="shared" si="7"/>
        <v>1650069.3222687873</v>
      </c>
      <c r="M20" s="385">
        <f t="shared" si="7"/>
        <v>1658319.6688801311</v>
      </c>
    </row>
    <row r="21" spans="1:14" x14ac:dyDescent="0.25">
      <c r="A21" s="298" t="s">
        <v>1616</v>
      </c>
      <c r="B21" s="4"/>
      <c r="C21" s="385">
        <f>+C19-C20</f>
        <v>117533.44617355987</v>
      </c>
      <c r="D21" s="385">
        <f>+D17</f>
        <v>125910</v>
      </c>
      <c r="E21" s="385">
        <f>+E19-E20</f>
        <v>104262</v>
      </c>
      <c r="F21" s="385">
        <f>+F17</f>
        <v>94062</v>
      </c>
      <c r="G21" s="385">
        <f t="shared" ref="G21:M21" si="8">+G17</f>
        <v>104262</v>
      </c>
      <c r="H21" s="385">
        <f t="shared" si="8"/>
        <v>114462</v>
      </c>
      <c r="I21" s="385">
        <f t="shared" si="8"/>
        <v>115034.30999999998</v>
      </c>
      <c r="J21" s="385">
        <f t="shared" si="8"/>
        <v>115609.48154999997</v>
      </c>
      <c r="K21" s="385">
        <f t="shared" si="8"/>
        <v>116187.52895774995</v>
      </c>
      <c r="L21" s="385">
        <f t="shared" si="8"/>
        <v>116768.46660253868</v>
      </c>
      <c r="M21" s="385">
        <f t="shared" si="8"/>
        <v>117352.30893555137</v>
      </c>
    </row>
    <row r="22" spans="1:14" x14ac:dyDescent="0.25">
      <c r="A22" s="4" t="s">
        <v>1572</v>
      </c>
      <c r="B22" s="4"/>
      <c r="C22" s="9"/>
      <c r="D22" s="6">
        <v>-1.7299999999999999E-2</v>
      </c>
      <c r="E22" s="6">
        <f>+E18</f>
        <v>3.4500000000000003E-2</v>
      </c>
      <c r="F22" s="6">
        <f>+F18</f>
        <v>5.0000000000000001E-3</v>
      </c>
      <c r="G22" s="6">
        <f t="shared" ref="G22:M22" si="9">+G18</f>
        <v>5.0000000000000001E-3</v>
      </c>
      <c r="H22" s="6">
        <f t="shared" si="9"/>
        <v>5.0000000000000001E-3</v>
      </c>
      <c r="I22" s="6">
        <f t="shared" si="9"/>
        <v>5.0000000000000001E-3</v>
      </c>
      <c r="J22" s="6">
        <f t="shared" si="9"/>
        <v>5.0000000000000001E-3</v>
      </c>
      <c r="K22" s="6">
        <f t="shared" si="9"/>
        <v>5.0000000000000001E-3</v>
      </c>
      <c r="L22" s="6">
        <f t="shared" si="9"/>
        <v>5.0000000000000001E-3</v>
      </c>
      <c r="M22" s="6">
        <f t="shared" si="9"/>
        <v>5.0000000000000001E-3</v>
      </c>
    </row>
    <row r="23" spans="1:14" x14ac:dyDescent="0.25">
      <c r="C23" s="9"/>
      <c r="D23" s="6"/>
      <c r="E23" s="6"/>
      <c r="F23" s="6"/>
      <c r="G23" s="6"/>
      <c r="H23" s="6"/>
      <c r="I23" s="6"/>
      <c r="J23" s="6"/>
      <c r="K23" s="6"/>
      <c r="L23" s="6"/>
      <c r="M23" s="6"/>
    </row>
    <row r="24" spans="1:14" x14ac:dyDescent="0.25">
      <c r="A24" s="4" t="s">
        <v>1618</v>
      </c>
      <c r="C24" s="6">
        <f>+(C19-C15)/C19</f>
        <v>2.7452727265055601E-3</v>
      </c>
      <c r="D24" s="6">
        <f t="shared" ref="D24:N24" si="10">+(D19-D15)/D19</f>
        <v>0</v>
      </c>
      <c r="E24" s="6">
        <f t="shared" si="10"/>
        <v>0</v>
      </c>
      <c r="F24" s="6">
        <f t="shared" si="10"/>
        <v>0</v>
      </c>
      <c r="G24" s="6">
        <f t="shared" si="10"/>
        <v>5.677621440491493E-3</v>
      </c>
      <c r="H24" s="6">
        <f t="shared" si="10"/>
        <v>1.1234249934524269E-2</v>
      </c>
      <c r="I24" s="6">
        <f t="shared" si="10"/>
        <v>1.123424993452434E-2</v>
      </c>
      <c r="J24" s="6">
        <f t="shared" si="10"/>
        <v>1.123424993452418E-2</v>
      </c>
      <c r="K24" s="6">
        <f t="shared" si="10"/>
        <v>1.1234249934524237E-2</v>
      </c>
      <c r="L24" s="6">
        <f t="shared" si="10"/>
        <v>1.1234249934524225E-2</v>
      </c>
      <c r="M24" s="6">
        <f>+(M19-M15)/M19</f>
        <v>1.1234249934524288E-2</v>
      </c>
      <c r="N24" s="390">
        <f t="shared" si="10"/>
        <v>1</v>
      </c>
    </row>
    <row r="25" spans="1:14" x14ac:dyDescent="0.25">
      <c r="C25" s="9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1:14" x14ac:dyDescent="0.25">
      <c r="A26" s="1" t="s">
        <v>1573</v>
      </c>
      <c r="C26" s="9"/>
      <c r="D26" s="6"/>
      <c r="E26" s="6"/>
      <c r="F26" s="6"/>
      <c r="G26" s="6"/>
      <c r="H26" s="6"/>
      <c r="I26" s="6"/>
      <c r="J26" s="6"/>
      <c r="K26" s="6"/>
      <c r="L26" s="6"/>
      <c r="M26" s="6"/>
    </row>
    <row r="27" spans="1:14" x14ac:dyDescent="0.25">
      <c r="A27" s="4"/>
      <c r="B27" s="4" t="s">
        <v>5</v>
      </c>
      <c r="C27" s="1">
        <f t="shared" ref="C27:M27" si="11">+C6/C15</f>
        <v>897064.79030268244</v>
      </c>
      <c r="D27" s="1">
        <f t="shared" si="11"/>
        <v>986716.96967694617</v>
      </c>
      <c r="E27" s="1">
        <f t="shared" si="11"/>
        <v>1041896.460247784</v>
      </c>
      <c r="F27" s="1">
        <f t="shared" si="11"/>
        <v>1079939.3862791373</v>
      </c>
      <c r="G27" s="1">
        <f t="shared" si="11"/>
        <v>1112337.5678675117</v>
      </c>
      <c r="H27" s="1">
        <f t="shared" si="11"/>
        <v>1145707.6949035369</v>
      </c>
      <c r="I27" s="1">
        <f t="shared" si="11"/>
        <v>1180078.925750643</v>
      </c>
      <c r="J27" s="1">
        <f t="shared" si="11"/>
        <v>1215481.2935231624</v>
      </c>
      <c r="K27" s="1">
        <f t="shared" si="11"/>
        <v>1251945.7323288571</v>
      </c>
      <c r="L27" s="1">
        <f t="shared" si="11"/>
        <v>1289504.1042987229</v>
      </c>
      <c r="M27" s="1">
        <f t="shared" si="11"/>
        <v>1289504.1042987229</v>
      </c>
    </row>
    <row r="28" spans="1:14" x14ac:dyDescent="0.25">
      <c r="A28" s="4" t="s">
        <v>1569</v>
      </c>
      <c r="B28" s="4" t="s">
        <v>5</v>
      </c>
      <c r="C28" s="1">
        <f t="shared" ref="C28:M28" si="12">+C9/C19</f>
        <v>891152.59802686097</v>
      </c>
      <c r="D28" s="1">
        <f t="shared" si="12"/>
        <v>986716.96967694617</v>
      </c>
      <c r="E28" s="1">
        <f t="shared" si="12"/>
        <v>1041896.460247784</v>
      </c>
      <c r="F28" s="1">
        <f t="shared" si="12"/>
        <v>1079939.3862791373</v>
      </c>
      <c r="G28" s="1">
        <f t="shared" si="12"/>
        <v>1106022.1362431229</v>
      </c>
      <c r="H28" s="1">
        <f t="shared" si="12"/>
        <v>1132836.5283070828</v>
      </c>
      <c r="I28" s="1">
        <f t="shared" si="12"/>
        <v>1166821.6241562953</v>
      </c>
      <c r="J28" s="1">
        <f t="shared" si="12"/>
        <v>1201826.2728809845</v>
      </c>
      <c r="K28" s="1">
        <f t="shared" si="12"/>
        <v>1237881.061067414</v>
      </c>
      <c r="L28" s="1">
        <f t="shared" si="12"/>
        <v>1275017.4928994363</v>
      </c>
      <c r="M28" s="1">
        <f t="shared" si="12"/>
        <v>1275017.4928994363</v>
      </c>
    </row>
    <row r="29" spans="1:14" x14ac:dyDescent="0.25">
      <c r="C29" s="9"/>
      <c r="D29" s="6"/>
      <c r="E29" s="6"/>
      <c r="F29" s="6"/>
      <c r="G29" s="6"/>
      <c r="H29" s="6"/>
      <c r="I29" s="6"/>
      <c r="J29" s="6"/>
      <c r="K29" s="6"/>
      <c r="L29" s="6"/>
      <c r="M29" s="6"/>
    </row>
    <row r="30" spans="1:14" x14ac:dyDescent="0.25">
      <c r="A30" s="1" t="s">
        <v>1571</v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</row>
    <row r="31" spans="1:14" x14ac:dyDescent="0.25">
      <c r="A31" s="4"/>
      <c r="B31" s="4" t="s">
        <v>11</v>
      </c>
      <c r="C31" s="9">
        <f>+PRY!G197</f>
        <v>1605994516712.717</v>
      </c>
      <c r="D31" s="9">
        <f>+PRY!H197</f>
        <v>1707452000000</v>
      </c>
      <c r="E31" s="9">
        <f>+PRY!I197</f>
        <v>1712147197886.7397</v>
      </c>
      <c r="F31" s="9">
        <f>+PRY!J197</f>
        <v>1854255415311.3391</v>
      </c>
      <c r="G31" s="9">
        <f>+PRY!K197</f>
        <v>1902466056109.4341</v>
      </c>
      <c r="H31" s="9">
        <f>+PRY!L197</f>
        <v>1942417843287.7319</v>
      </c>
      <c r="I31" s="9">
        <f>+PRY!M197</f>
        <v>1983208617996.7742</v>
      </c>
      <c r="J31" s="9">
        <f>+PRY!N197</f>
        <v>2034772042064.6904</v>
      </c>
      <c r="K31" s="9">
        <f>+PRY!O197</f>
        <v>2101919519452.825</v>
      </c>
      <c r="L31" s="9">
        <f>+PRY!P197</f>
        <v>2175486702633.6736</v>
      </c>
      <c r="M31" s="9">
        <f>+PRY!Q197</f>
        <v>2186364136146.8418</v>
      </c>
    </row>
    <row r="32" spans="1:14" x14ac:dyDescent="0.25">
      <c r="A32" s="298" t="s">
        <v>1623</v>
      </c>
      <c r="B32" s="4"/>
      <c r="C32" s="9">
        <f>+PRY!G359</f>
        <v>1561062000000</v>
      </c>
      <c r="D32" s="9"/>
      <c r="E32" s="8">
        <v>3.5000000000000003E-2</v>
      </c>
      <c r="F32" s="8">
        <v>8.3000000000000004E-2</v>
      </c>
      <c r="G32" s="8">
        <v>2.5999999999999999E-2</v>
      </c>
      <c r="H32" s="8">
        <v>2.1000000000000001E-2</v>
      </c>
      <c r="I32" s="8">
        <v>2.1000000000000001E-2</v>
      </c>
      <c r="J32" s="8">
        <v>2.5999999999999999E-2</v>
      </c>
      <c r="K32" s="8">
        <v>3.3000000000000002E-2</v>
      </c>
      <c r="L32" s="8">
        <v>3.5000000000000003E-2</v>
      </c>
      <c r="M32" s="8">
        <v>5.0000000000000001E-3</v>
      </c>
    </row>
    <row r="33" spans="1:14" x14ac:dyDescent="0.25">
      <c r="A33" s="298" t="s">
        <v>1624</v>
      </c>
      <c r="B33" s="4"/>
      <c r="C33" s="9">
        <f>+PRY!G360</f>
        <v>44932516712.717041</v>
      </c>
      <c r="D33" s="9"/>
      <c r="E33" s="9"/>
      <c r="F33" s="9"/>
      <c r="G33" s="9"/>
      <c r="H33" s="9"/>
      <c r="I33" s="9"/>
      <c r="J33" s="9"/>
      <c r="K33" s="9"/>
      <c r="L33" s="9"/>
      <c r="M33" s="9"/>
    </row>
    <row r="34" spans="1:14" x14ac:dyDescent="0.25">
      <c r="A34" s="4" t="s">
        <v>1569</v>
      </c>
      <c r="B34" s="4" t="s">
        <v>11</v>
      </c>
      <c r="C34" s="384">
        <f>+[4]PYG!I23*-1000</f>
        <v>1564816595080.4119</v>
      </c>
      <c r="D34" s="384">
        <f>+D35+D36</f>
        <v>1707452563057</v>
      </c>
      <c r="E34" s="384">
        <f>+E35+E36</f>
        <v>1712147197886.7397</v>
      </c>
      <c r="F34" s="384">
        <f>+E34*(1+F32)</f>
        <v>1854255415311.3391</v>
      </c>
      <c r="G34" s="384">
        <f t="shared" ref="G34:M34" si="13">+F34*(1+G32)</f>
        <v>1902466056109.4341</v>
      </c>
      <c r="H34" s="384">
        <f t="shared" si="13"/>
        <v>1942417843287.7319</v>
      </c>
      <c r="I34" s="384">
        <f t="shared" si="13"/>
        <v>1983208617996.7742</v>
      </c>
      <c r="J34" s="384">
        <f t="shared" si="13"/>
        <v>2034772042064.6904</v>
      </c>
      <c r="K34" s="384">
        <f t="shared" si="13"/>
        <v>2101919519452.825</v>
      </c>
      <c r="L34" s="384">
        <f t="shared" si="13"/>
        <v>2175486702633.6736</v>
      </c>
      <c r="M34" s="384">
        <f t="shared" si="13"/>
        <v>2186364136146.8418</v>
      </c>
    </row>
    <row r="35" spans="1:14" x14ac:dyDescent="0.25">
      <c r="A35" s="298" t="s">
        <v>1623</v>
      </c>
      <c r="B35" s="4"/>
      <c r="C35" s="384">
        <f>+[4]PYG!I23*-1000+[4]PYG!I19*1000</f>
        <v>1519884078367.6948</v>
      </c>
      <c r="D35" s="384">
        <v>1651543186364</v>
      </c>
      <c r="E35" s="384">
        <f>+D35*(1+E32)</f>
        <v>1709347197886.7397</v>
      </c>
      <c r="F35" s="384">
        <f t="shared" ref="F35:M35" si="14">+E35*(1+F32)</f>
        <v>1851223015311.3391</v>
      </c>
      <c r="G35" s="384">
        <f t="shared" si="14"/>
        <v>1899354813709.4341</v>
      </c>
      <c r="H35" s="384">
        <f t="shared" si="14"/>
        <v>1939241264797.332</v>
      </c>
      <c r="I35" s="384">
        <f t="shared" si="14"/>
        <v>1979965331358.0759</v>
      </c>
      <c r="J35" s="384">
        <f t="shared" si="14"/>
        <v>2031444429973.386</v>
      </c>
      <c r="K35" s="384">
        <f t="shared" si="14"/>
        <v>2098482096162.5076</v>
      </c>
      <c r="L35" s="384">
        <f t="shared" si="14"/>
        <v>2171928969528.1951</v>
      </c>
      <c r="M35" s="384">
        <f t="shared" si="14"/>
        <v>2182788614375.8357</v>
      </c>
    </row>
    <row r="36" spans="1:14" x14ac:dyDescent="0.25">
      <c r="A36" s="298" t="s">
        <v>1624</v>
      </c>
      <c r="B36" s="4"/>
      <c r="C36" s="384">
        <f>+C34-C35</f>
        <v>44932516712.717041</v>
      </c>
      <c r="D36" s="384">
        <v>55909376693</v>
      </c>
      <c r="E36" s="384">
        <v>2800000000</v>
      </c>
      <c r="F36" s="384">
        <f>+F34-F35</f>
        <v>3032400000</v>
      </c>
      <c r="G36" s="384">
        <f>+G34-G35</f>
        <v>3111242400</v>
      </c>
      <c r="H36" s="384">
        <f t="shared" ref="H36:M36" si="15">+H34-H35</f>
        <v>3176578490.3999023</v>
      </c>
      <c r="I36" s="384">
        <f t="shared" si="15"/>
        <v>3243286638.6982422</v>
      </c>
      <c r="J36" s="384">
        <f t="shared" si="15"/>
        <v>3327612091.3044434</v>
      </c>
      <c r="K36" s="384">
        <f t="shared" si="15"/>
        <v>3437423290.3173828</v>
      </c>
      <c r="L36" s="384">
        <f t="shared" si="15"/>
        <v>3557733105.4785156</v>
      </c>
      <c r="M36" s="384">
        <f t="shared" si="15"/>
        <v>3575521771.0061035</v>
      </c>
    </row>
    <row r="37" spans="1:14" x14ac:dyDescent="0.25">
      <c r="A37" s="4"/>
      <c r="B37" s="4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</row>
    <row r="38" spans="1:14" x14ac:dyDescent="0.25">
      <c r="A38" s="4"/>
      <c r="B38" s="4"/>
      <c r="C38" s="6">
        <f t="shared" ref="C38:M38" si="16">+C31/C6</f>
        <v>1.0527363153399918</v>
      </c>
      <c r="D38" s="6">
        <f t="shared" si="16"/>
        <v>1.0385383076720209</v>
      </c>
      <c r="E38" s="6">
        <f t="shared" si="16"/>
        <v>0.96794634022272619</v>
      </c>
      <c r="F38" s="6">
        <f t="shared" si="16"/>
        <v>1.0126898386332537</v>
      </c>
      <c r="G38" s="6">
        <f t="shared" si="16"/>
        <v>1.0037383707073551</v>
      </c>
      <c r="H38" s="6">
        <f t="shared" si="16"/>
        <v>0.99001775249211166</v>
      </c>
      <c r="I38" s="6">
        <f t="shared" si="16"/>
        <v>0.97648468849388603</v>
      </c>
      <c r="J38" s="6">
        <f t="shared" si="16"/>
        <v>0.96785324870282297</v>
      </c>
      <c r="K38" s="6">
        <f t="shared" si="16"/>
        <v>0.9658430236294413</v>
      </c>
      <c r="L38" s="6">
        <f t="shared" si="16"/>
        <v>0.96570306666325811</v>
      </c>
      <c r="M38" s="6">
        <f t="shared" si="16"/>
        <v>0.96570306666325822</v>
      </c>
    </row>
    <row r="39" spans="1:14" x14ac:dyDescent="0.25">
      <c r="A39" s="4" t="s">
        <v>1569</v>
      </c>
      <c r="C39" s="6">
        <f t="shared" ref="C39:M39" si="17">+C34/C9</f>
        <v>1.0297144964854532</v>
      </c>
      <c r="D39" s="6">
        <f t="shared" si="17"/>
        <v>1.0385386501450533</v>
      </c>
      <c r="E39" s="6">
        <f t="shared" si="17"/>
        <v>0.96794634022272619</v>
      </c>
      <c r="F39" s="6">
        <f t="shared" si="17"/>
        <v>1.0126898386332537</v>
      </c>
      <c r="G39" s="6">
        <f t="shared" si="17"/>
        <v>1.0037383707073551</v>
      </c>
      <c r="H39" s="6">
        <f t="shared" si="17"/>
        <v>0.99001775249211166</v>
      </c>
      <c r="I39" s="6">
        <f t="shared" si="17"/>
        <v>0.97648468849388603</v>
      </c>
      <c r="J39" s="6">
        <f t="shared" si="17"/>
        <v>0.96785324870282297</v>
      </c>
      <c r="K39" s="6">
        <f t="shared" si="17"/>
        <v>0.96584302362944119</v>
      </c>
      <c r="L39" s="6">
        <f t="shared" si="17"/>
        <v>0.96570306666325811</v>
      </c>
      <c r="M39" s="6">
        <f t="shared" si="17"/>
        <v>0.96570306666325822</v>
      </c>
    </row>
    <row r="40" spans="1:14" x14ac:dyDescent="0.25">
      <c r="A40" s="4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  <row r="41" spans="1:14" x14ac:dyDescent="0.25">
      <c r="A41" s="4" t="s">
        <v>1618</v>
      </c>
      <c r="C41" s="6">
        <f>+(C34-C31)/C34</f>
        <v>-2.6314854892109035E-2</v>
      </c>
      <c r="D41" s="6">
        <f t="shared" ref="D41:M41" si="18">+(D34-D31)/D34</f>
        <v>3.297643590120655E-7</v>
      </c>
      <c r="E41" s="6">
        <f t="shared" si="18"/>
        <v>0</v>
      </c>
      <c r="F41" s="6">
        <f t="shared" si="18"/>
        <v>0</v>
      </c>
      <c r="G41" s="6">
        <f t="shared" si="18"/>
        <v>0</v>
      </c>
      <c r="H41" s="6">
        <f t="shared" si="18"/>
        <v>0</v>
      </c>
      <c r="I41" s="6">
        <f t="shared" si="18"/>
        <v>0</v>
      </c>
      <c r="J41" s="6">
        <f t="shared" si="18"/>
        <v>0</v>
      </c>
      <c r="K41" s="6">
        <f t="shared" si="18"/>
        <v>0</v>
      </c>
      <c r="L41" s="6">
        <f t="shared" si="18"/>
        <v>0</v>
      </c>
      <c r="M41" s="6">
        <f t="shared" si="18"/>
        <v>0</v>
      </c>
      <c r="N41" s="390"/>
    </row>
    <row r="42" spans="1:14" x14ac:dyDescent="0.25">
      <c r="A42" s="4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</row>
    <row r="43" spans="1:14" x14ac:dyDescent="0.25">
      <c r="A43" s="1" t="s">
        <v>1575</v>
      </c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</row>
    <row r="44" spans="1:14" x14ac:dyDescent="0.25">
      <c r="A44" s="4"/>
      <c r="B44" s="4" t="s">
        <v>11</v>
      </c>
      <c r="C44" s="9">
        <f>+PRY!G80-PRY!G94</f>
        <v>63790191623.589302</v>
      </c>
      <c r="D44" s="9">
        <f>+PRY!H80-PRY!H94</f>
        <v>76636050690.438995</v>
      </c>
      <c r="E44" s="9">
        <f>+PRY!I80-PRY!I94</f>
        <v>80852224637.515747</v>
      </c>
      <c r="F44" s="9">
        <f>+PRY!J80-PRY!J94</f>
        <v>84490302127.203934</v>
      </c>
      <c r="G44" s="9">
        <f>+PRY!K80-PRY!K94</f>
        <v>87869347164.772095</v>
      </c>
      <c r="H44" s="9">
        <f>+PRY!L80-PRY!L94</f>
        <v>91383536992.417404</v>
      </c>
      <c r="I44" s="9">
        <f>+PRY!M80-PRY!M94</f>
        <v>95038276891.400131</v>
      </c>
      <c r="J44" s="9">
        <f>+PRY!N80-PRY!N94</f>
        <v>98839188338.920715</v>
      </c>
      <c r="K44" s="9">
        <f>+PRY!O80-PRY!O94</f>
        <v>102792117655.49808</v>
      </c>
      <c r="L44" s="9">
        <f>+PRY!P80-PRY!P94</f>
        <v>106903144998.2292</v>
      </c>
      <c r="M44" s="9">
        <f>+PRY!Q80-PRY!Q94</f>
        <v>111178593713.76489</v>
      </c>
    </row>
    <row r="45" spans="1:14" x14ac:dyDescent="0.25">
      <c r="A45" s="4" t="s">
        <v>1569</v>
      </c>
      <c r="B45" s="4" t="s">
        <v>11</v>
      </c>
      <c r="C45" s="384">
        <f>-+([4]PYG!I28+[4]PYG!I29)*1000</f>
        <v>71203484100.972427</v>
      </c>
      <c r="D45" s="384">
        <f>-+([4]PYG!J28+[4]PYG!J29)*1000</f>
        <v>75932450540.015366</v>
      </c>
      <c r="E45" s="384">
        <f>-+([4]PYG!K28+[4]PYG!K29)*1000</f>
        <v>79248946849.547195</v>
      </c>
      <c r="F45" s="384">
        <f>-+([4]PYG!L28+[4]PYG!L29)*1000</f>
        <v>81554212680.696381</v>
      </c>
      <c r="G45" s="384">
        <f>-+([4]PYG!M28+[4]PYG!M29)*1000</f>
        <v>83872626943.13382</v>
      </c>
      <c r="H45" s="384">
        <f>-+([4]PYG!N28+[4]PYG!N29)*1000</f>
        <v>86175395459.385864</v>
      </c>
      <c r="I45" s="384">
        <f>-+([4]PYG!O28+[4]PYG!O29)*1000</f>
        <v>88496626981.949554</v>
      </c>
      <c r="J45" s="384">
        <f>-+([4]PYG!P28+[4]PYG!P29)*1000</f>
        <v>90813174445.822845</v>
      </c>
      <c r="K45" s="384">
        <f>-+([4]PYG!Q28+[4]PYG!Q29)*1000</f>
        <v>93493269458.709747</v>
      </c>
      <c r="L45" s="384">
        <f>-+([4]PYG!R28+[4]PYG!R29)*1000</f>
        <v>95788808533.103714</v>
      </c>
      <c r="M45" s="384">
        <f>-+([4]PYG!S28+[4]PYG!S29)*1000</f>
        <v>98360452187.581711</v>
      </c>
    </row>
    <row r="46" spans="1:14" x14ac:dyDescent="0.25">
      <c r="A46" s="4" t="s">
        <v>1572</v>
      </c>
      <c r="B46" s="4"/>
      <c r="D46" s="6">
        <f t="shared" ref="D46:M46" si="19">+D45/C45-1</f>
        <v>6.641481802122029E-2</v>
      </c>
      <c r="E46" s="6">
        <f t="shared" si="19"/>
        <v>4.3676929770415818E-2</v>
      </c>
      <c r="F46" s="6">
        <f t="shared" si="19"/>
        <v>2.9088914399401311E-2</v>
      </c>
      <c r="G46" s="6">
        <f t="shared" si="19"/>
        <v>2.8427890923483856E-2</v>
      </c>
      <c r="H46" s="6">
        <f t="shared" si="19"/>
        <v>2.7455543008249039E-2</v>
      </c>
      <c r="I46" s="6">
        <f t="shared" si="19"/>
        <v>2.6936128464390752E-2</v>
      </c>
      <c r="J46" s="6">
        <f t="shared" si="19"/>
        <v>2.6176675234704572E-2</v>
      </c>
      <c r="K46" s="6">
        <f t="shared" si="19"/>
        <v>2.9512182888021155E-2</v>
      </c>
      <c r="L46" s="6">
        <f t="shared" si="19"/>
        <v>2.4552987479037336E-2</v>
      </c>
      <c r="M46" s="6">
        <f t="shared" si="19"/>
        <v>2.6847015782530237E-2</v>
      </c>
    </row>
    <row r="47" spans="1:14" x14ac:dyDescent="0.25">
      <c r="A47" s="4"/>
      <c r="B47" s="4"/>
      <c r="D47" s="6"/>
      <c r="E47" s="6"/>
      <c r="F47" s="6"/>
      <c r="G47" s="6"/>
      <c r="H47" s="6"/>
      <c r="I47" s="6"/>
      <c r="J47" s="6"/>
      <c r="K47" s="6"/>
      <c r="L47" s="6"/>
      <c r="M47" s="6"/>
    </row>
    <row r="48" spans="1:14" x14ac:dyDescent="0.25">
      <c r="A48" s="4" t="s">
        <v>1625</v>
      </c>
      <c r="B48" s="4"/>
      <c r="C48" s="1">
        <f>+'[5]ERI '!$B$11*-1</f>
        <v>62351</v>
      </c>
      <c r="D48" s="6"/>
      <c r="E48" s="6"/>
      <c r="F48" s="6"/>
      <c r="G48" s="6"/>
      <c r="H48" s="6"/>
      <c r="I48" s="6"/>
      <c r="J48" s="6"/>
      <c r="K48" s="6"/>
      <c r="L48" s="6"/>
      <c r="M48" s="6"/>
    </row>
    <row r="49" spans="1:13" x14ac:dyDescent="0.25"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</row>
    <row r="50" spans="1:13" x14ac:dyDescent="0.25">
      <c r="A50" s="1" t="s">
        <v>1434</v>
      </c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</row>
    <row r="51" spans="1:13" x14ac:dyDescent="0.25">
      <c r="A51" s="4"/>
      <c r="B51" s="4" t="s">
        <v>11</v>
      </c>
      <c r="C51" s="9">
        <f>+PRY!G119</f>
        <v>-38522908213.946457</v>
      </c>
      <c r="D51" s="9">
        <f>+PRY!H119</f>
        <v>123897937688.93311</v>
      </c>
      <c r="E51" s="9">
        <f>+PRY!I119</f>
        <v>23921629938.947098</v>
      </c>
      <c r="F51" s="9">
        <f>+PRY!J119</f>
        <v>-7179722561.0468826</v>
      </c>
      <c r="G51" s="9">
        <f>+PRY!K119</f>
        <v>14234575277.028671</v>
      </c>
      <c r="H51" s="9">
        <f>+PRY!L119</f>
        <v>39859191606.336472</v>
      </c>
      <c r="I51" s="9">
        <f>+PRY!M119</f>
        <v>60573967208.918594</v>
      </c>
      <c r="J51" s="9">
        <f>+PRY!N119</f>
        <v>80697050389.604568</v>
      </c>
      <c r="K51" s="9">
        <f>+PRY!O119</f>
        <v>87487447438.191071</v>
      </c>
      <c r="L51" s="9">
        <f>+PRY!P119</f>
        <v>90449423897.718399</v>
      </c>
      <c r="M51" s="9">
        <f>+PRY!Q119</f>
        <v>86897377015.378036</v>
      </c>
    </row>
    <row r="52" spans="1:13" x14ac:dyDescent="0.25">
      <c r="A52" s="4" t="s">
        <v>1569</v>
      </c>
      <c r="B52" s="4" t="s">
        <v>11</v>
      </c>
      <c r="C52" s="9">
        <f>+[6]PYG!I51*1000</f>
        <v>-53821915490.690392</v>
      </c>
      <c r="D52" s="9">
        <f>+[6]PYG!J51*1000</f>
        <v>-11208870384.579824</v>
      </c>
      <c r="E52" s="9">
        <f>+[6]PYG!K51*1000</f>
        <v>-5874159156.3901377</v>
      </c>
      <c r="F52" s="9">
        <f>+[6]PYG!L51*1000</f>
        <v>-2459851425.2180586</v>
      </c>
      <c r="G52" s="9">
        <f>+[6]PYG!M51*1000</f>
        <v>1045113887.0864398</v>
      </c>
      <c r="H52" s="9">
        <f>+[6]PYG!N51*1000</f>
        <v>5946586686.4957571</v>
      </c>
      <c r="I52" s="9">
        <f>+[6]PYG!O51*1000</f>
        <v>7367180463.7424259</v>
      </c>
      <c r="J52" s="9">
        <f>+[6]PYG!P51*1000</f>
        <v>1719010054.3981736</v>
      </c>
      <c r="K52" s="9">
        <f>+[6]PYG!Q51*1000</f>
        <v>0</v>
      </c>
      <c r="L52" s="9">
        <f>+[6]PYG!R51*1000</f>
        <v>0</v>
      </c>
      <c r="M52" s="9">
        <f>+[6]PYG!S51*1000</f>
        <v>0</v>
      </c>
    </row>
    <row r="53" spans="1:13" x14ac:dyDescent="0.25"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</row>
    <row r="54" spans="1:13" x14ac:dyDescent="0.25">
      <c r="A54" s="1" t="s">
        <v>1576</v>
      </c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</row>
    <row r="55" spans="1:13" x14ac:dyDescent="0.25">
      <c r="A55" s="4"/>
      <c r="B55" s="4" t="s">
        <v>11</v>
      </c>
      <c r="C55" s="9">
        <f>+PRY!G13</f>
        <v>61681498714.984261</v>
      </c>
      <c r="D55" s="9">
        <f>+PRY!H13</f>
        <v>218932520833.20761</v>
      </c>
      <c r="E55" s="9">
        <f>+PRY!I13</f>
        <v>253618821251.07599</v>
      </c>
      <c r="F55" s="9">
        <f>+PRY!J13</f>
        <v>339745912220.68298</v>
      </c>
      <c r="G55" s="9">
        <f>+PRY!K13</f>
        <v>397714391707.65704</v>
      </c>
      <c r="H55" s="9">
        <f>+PRY!L13</f>
        <v>572651524857.43738</v>
      </c>
      <c r="I55" s="9">
        <f>+PRY!M13</f>
        <v>646866276760.48828</v>
      </c>
      <c r="J55" s="9">
        <f>+PRY!N13</f>
        <v>746537390851.57446</v>
      </c>
      <c r="K55" s="9">
        <f>+PRY!O13</f>
        <v>860822379355.84607</v>
      </c>
      <c r="L55" s="9">
        <f>+PRY!P13</f>
        <v>981122685054.69434</v>
      </c>
      <c r="M55" s="9">
        <f>+PRY!Q13</f>
        <v>1072963287082.887</v>
      </c>
    </row>
    <row r="56" spans="1:13" x14ac:dyDescent="0.25">
      <c r="A56" s="4" t="s">
        <v>1569</v>
      </c>
      <c r="B56" s="4" t="s">
        <v>11</v>
      </c>
      <c r="C56" s="9">
        <f>+[6]BALANCE!H6*1000</f>
        <v>-183083237756.44955</v>
      </c>
      <c r="D56" s="9">
        <f>+[6]BALANCE!I6*1000</f>
        <v>-52521558015.129387</v>
      </c>
      <c r="E56" s="9">
        <f>+[6]BALANCE!J6*1000</f>
        <v>64805348699.728668</v>
      </c>
      <c r="F56" s="9">
        <f>+[6]BALANCE!K6*1000</f>
        <v>178822791559.48553</v>
      </c>
      <c r="G56" s="9">
        <f>+[6]BALANCE!L6*1000</f>
        <v>281483111370.93042</v>
      </c>
      <c r="H56" s="9">
        <f>+[6]BALANCE!M6*1000</f>
        <v>383528704516.48688</v>
      </c>
      <c r="I56" s="9">
        <f>+[6]BALANCE!N6*1000</f>
        <v>486221424319.6723</v>
      </c>
      <c r="J56" s="9">
        <f>+[6]BALANCE!O6*1000</f>
        <v>502007292832.52643</v>
      </c>
      <c r="K56" s="9">
        <f>+[6]BALANCE!P6*1000</f>
        <v>0</v>
      </c>
      <c r="L56" s="9">
        <f>+[6]BALANCE!Q6*1000</f>
        <v>0</v>
      </c>
      <c r="M56" s="9">
        <f>+[6]BALANCE!R6*1000</f>
        <v>0</v>
      </c>
    </row>
    <row r="57" spans="1:13" x14ac:dyDescent="0.25"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</row>
    <row r="58" spans="1:13" x14ac:dyDescent="0.25">
      <c r="A58" s="1" t="s">
        <v>1455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</row>
    <row r="59" spans="1:13" x14ac:dyDescent="0.25">
      <c r="A59" s="4"/>
      <c r="B59" s="4" t="s">
        <v>11</v>
      </c>
      <c r="C59" s="9">
        <f>+PRY!G50</f>
        <v>-710762259812.94641</v>
      </c>
      <c r="D59" s="9">
        <f>+PRY!H50</f>
        <v>-586864322124.01331</v>
      </c>
      <c r="E59" s="9">
        <f>+PRY!I50</f>
        <v>-562942692185.06616</v>
      </c>
      <c r="F59" s="9">
        <f>+PRY!J50</f>
        <v>-570122414746.11304</v>
      </c>
      <c r="G59" s="9">
        <f>+PRY!K50</f>
        <v>-525887839469.08435</v>
      </c>
      <c r="H59" s="9">
        <f>+PRY!L50</f>
        <v>-362028647862.74786</v>
      </c>
      <c r="I59" s="9">
        <f>+PRY!M50</f>
        <v>-271454680653.82935</v>
      </c>
      <c r="J59" s="9">
        <f>+PRY!N50</f>
        <v>-190757630264.22479</v>
      </c>
      <c r="K59" s="9">
        <f>+PRY!O50</f>
        <v>-103270182826.03372</v>
      </c>
      <c r="L59" s="9">
        <f>+PRY!P50</f>
        <v>-12820758928.315292</v>
      </c>
      <c r="M59" s="9">
        <f>+PRY!Q50</f>
        <v>74076618087.062729</v>
      </c>
    </row>
    <row r="60" spans="1:13" x14ac:dyDescent="0.25">
      <c r="A60" s="4" t="s">
        <v>1569</v>
      </c>
      <c r="B60" s="4" t="s">
        <v>11</v>
      </c>
      <c r="C60" s="9">
        <f>+[6]BALANCE!H29*1000</f>
        <v>-336689233619.74719</v>
      </c>
      <c r="D60" s="9">
        <f>+[6]BALANCE!I29*1000</f>
        <v>-225751658100.47363</v>
      </c>
      <c r="E60" s="9">
        <f>+[6]BALANCE!J29*1000</f>
        <v>-135288739979.28273</v>
      </c>
      <c r="F60" s="9">
        <f>+[6]BALANCE!K29*1000</f>
        <v>-46475112100.240349</v>
      </c>
      <c r="G60" s="9">
        <f>+[6]BALANCE!L29*1000</f>
        <v>42358742550.748703</v>
      </c>
      <c r="H60" s="9">
        <f>+[6]BALANCE!M29*1000</f>
        <v>131057561182.57391</v>
      </c>
      <c r="I60" s="9">
        <f>+[6]BALANCE!N29*1000</f>
        <v>219798932299.79456</v>
      </c>
      <c r="J60" s="9">
        <f>+[6]BALANCE!O29*1000</f>
        <v>223618872171.3891</v>
      </c>
      <c r="K60" s="9">
        <f>+[6]BALANCE!P29*1000</f>
        <v>0</v>
      </c>
      <c r="L60" s="9">
        <f>+[6]BALANCE!Q29*1000</f>
        <v>0</v>
      </c>
      <c r="M60" s="9">
        <f>+[6]BALANCE!R29*1000</f>
        <v>0</v>
      </c>
    </row>
    <row r="61" spans="1:13" x14ac:dyDescent="0.25"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</row>
  </sheetData>
  <pageMargins left="0.7" right="0.7" top="0.75" bottom="0.75" header="0.3" footer="0.3"/>
  <pageSetup paperSize="9" orientation="portrait" r:id="rId1"/>
  <ignoredErrors>
    <ignoredError sqref="E10 F10:M10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016"/>
  <sheetViews>
    <sheetView workbookViewId="0">
      <selection activeCell="B14" sqref="B14"/>
    </sheetView>
  </sheetViews>
  <sheetFormatPr baseColWidth="10" defaultColWidth="11.42578125" defaultRowHeight="15" x14ac:dyDescent="0.25"/>
  <cols>
    <col min="1" max="1" width="20.140625" bestFit="1" customWidth="1"/>
    <col min="7" max="7" width="3.42578125" customWidth="1"/>
  </cols>
  <sheetData>
    <row r="1" spans="1:6" x14ac:dyDescent="0.25">
      <c r="A1" s="2" t="s">
        <v>1497</v>
      </c>
    </row>
    <row r="2" spans="1:6" x14ac:dyDescent="0.25">
      <c r="A2" s="1" t="s">
        <v>1498</v>
      </c>
    </row>
    <row r="4" spans="1:6" x14ac:dyDescent="0.25">
      <c r="A4" s="284" t="s">
        <v>19</v>
      </c>
      <c r="B4" s="285" t="s">
        <v>1484</v>
      </c>
      <c r="C4" s="285" t="s">
        <v>1485</v>
      </c>
      <c r="D4" s="285" t="s">
        <v>1486</v>
      </c>
      <c r="E4" s="285" t="s">
        <v>1487</v>
      </c>
      <c r="F4" s="285" t="s">
        <v>1488</v>
      </c>
    </row>
    <row r="5" spans="1:6" x14ac:dyDescent="0.25">
      <c r="A5" s="1"/>
      <c r="B5" s="1"/>
      <c r="C5" s="1"/>
      <c r="D5" s="1"/>
      <c r="E5" s="1"/>
      <c r="F5" s="1"/>
    </row>
    <row r="6" spans="1:6" x14ac:dyDescent="0.25">
      <c r="A6" s="2" t="s">
        <v>13</v>
      </c>
      <c r="B6" s="6"/>
      <c r="C6" s="6"/>
      <c r="D6" s="6"/>
      <c r="E6" s="6"/>
      <c r="F6" s="6"/>
    </row>
    <row r="7" spans="1:6" x14ac:dyDescent="0.25">
      <c r="A7" s="4" t="s">
        <v>1489</v>
      </c>
      <c r="B7" s="116">
        <f>MAX(B17:B1016)</f>
        <v>109.40153945778074</v>
      </c>
      <c r="C7" s="116">
        <f>MAX(C17:C1016)</f>
        <v>102.92134858260269</v>
      </c>
      <c r="D7" s="116">
        <f>MAX(D17:D1016)</f>
        <v>101.3875277020633</v>
      </c>
      <c r="E7" s="116">
        <f>MAX(E17:E1016)</f>
        <v>98.399870338307593</v>
      </c>
      <c r="F7" s="116">
        <f>MAX(F17:F1016)</f>
        <v>97.006643922305727</v>
      </c>
    </row>
    <row r="8" spans="1:6" x14ac:dyDescent="0.25">
      <c r="A8" s="4" t="s">
        <v>1490</v>
      </c>
      <c r="B8" s="286">
        <v>106</v>
      </c>
      <c r="C8" s="286">
        <v>102</v>
      </c>
      <c r="D8" s="286">
        <v>100</v>
      </c>
      <c r="E8" s="286">
        <v>98</v>
      </c>
      <c r="F8" s="286">
        <v>96</v>
      </c>
    </row>
    <row r="9" spans="1:6" x14ac:dyDescent="0.25">
      <c r="A9" s="4" t="s">
        <v>1491</v>
      </c>
      <c r="B9" s="116">
        <f>(AVERAGE(B8,B10))</f>
        <v>102</v>
      </c>
      <c r="C9" s="116">
        <f>(AVERAGE(C8,C10))</f>
        <v>99</v>
      </c>
      <c r="D9" s="116">
        <f>(AVERAGE(D8,D10))</f>
        <v>97</v>
      </c>
      <c r="E9" s="116">
        <f>(AVERAGE(E8,E10))</f>
        <v>95</v>
      </c>
      <c r="F9" s="116">
        <f>(AVERAGE(F8,F10))</f>
        <v>93</v>
      </c>
    </row>
    <row r="10" spans="1:6" x14ac:dyDescent="0.25">
      <c r="A10" s="4" t="s">
        <v>1492</v>
      </c>
      <c r="B10" s="286">
        <v>98</v>
      </c>
      <c r="C10" s="286">
        <v>96</v>
      </c>
      <c r="D10" s="286">
        <v>94</v>
      </c>
      <c r="E10" s="286">
        <v>92</v>
      </c>
      <c r="F10" s="286">
        <v>90</v>
      </c>
    </row>
    <row r="11" spans="1:6" x14ac:dyDescent="0.25">
      <c r="A11" s="4" t="s">
        <v>1493</v>
      </c>
      <c r="B11" s="116">
        <f>MIN(B17:B1016)</f>
        <v>95.256438380334515</v>
      </c>
      <c r="C11" s="116">
        <f>MIN(C17:C1016)</f>
        <v>93.772301578428952</v>
      </c>
      <c r="D11" s="116">
        <f>MIN(D17:D1016)</f>
        <v>91.911940412535657</v>
      </c>
      <c r="E11" s="116">
        <f>MIN(E17:E1016)</f>
        <v>91.747197471985814</v>
      </c>
      <c r="F11" s="116">
        <f>MIN(F17:F1016)</f>
        <v>90.068342343648709</v>
      </c>
    </row>
    <row r="12" spans="1:6" x14ac:dyDescent="0.25">
      <c r="A12" s="4" t="s">
        <v>1494</v>
      </c>
      <c r="B12" s="286">
        <v>2</v>
      </c>
      <c r="C12" s="286">
        <v>1.5</v>
      </c>
      <c r="D12" s="286">
        <v>1.5</v>
      </c>
      <c r="E12" s="286">
        <v>1</v>
      </c>
      <c r="F12" s="286">
        <v>1</v>
      </c>
    </row>
    <row r="13" spans="1:6" x14ac:dyDescent="0.25">
      <c r="A13" s="4" t="s">
        <v>1495</v>
      </c>
      <c r="B13" s="116">
        <f>AVERAGE(B17:B1016)</f>
        <v>102.04283615122978</v>
      </c>
      <c r="C13" s="116">
        <f>AVERAGE(C17:C1016)</f>
        <v>98.997843307571458</v>
      </c>
      <c r="D13" s="116">
        <f>AVERAGE(D17:D1016)</f>
        <v>96.991629513569563</v>
      </c>
      <c r="E13" s="116">
        <f>AVERAGE(E17:E1016)</f>
        <v>95.041794964521543</v>
      </c>
      <c r="F13" s="116">
        <f>AVERAGE(F17:F1016)</f>
        <v>92.989067763719149</v>
      </c>
    </row>
    <row r="14" spans="1:6" x14ac:dyDescent="0.25">
      <c r="A14" s="4" t="s">
        <v>1495</v>
      </c>
      <c r="B14" s="6">
        <f>+B13/100</f>
        <v>1.0204283615122978</v>
      </c>
      <c r="C14" s="6">
        <f>+C13/100</f>
        <v>0.98997843307571454</v>
      </c>
      <c r="D14" s="6">
        <f>+D13/100</f>
        <v>0.96991629513569566</v>
      </c>
      <c r="E14" s="6">
        <f>+E13/100</f>
        <v>0.95041794964521542</v>
      </c>
      <c r="F14" s="6">
        <f>+F13/100</f>
        <v>0.92989067763719147</v>
      </c>
    </row>
    <row r="15" spans="1:6" x14ac:dyDescent="0.25">
      <c r="A15" s="1"/>
      <c r="B15" s="116"/>
      <c r="C15" s="116"/>
      <c r="D15" s="116"/>
      <c r="E15" s="116"/>
      <c r="F15" s="116"/>
    </row>
    <row r="16" spans="1:6" x14ac:dyDescent="0.25">
      <c r="A16" s="287" t="s">
        <v>1496</v>
      </c>
      <c r="B16" s="288">
        <f ca="1">_xlfn.NORM.INV(RAND(),B9,B12)</f>
        <v>98.155939504245325</v>
      </c>
      <c r="C16" s="288">
        <f ca="1">_xlfn.NORM.INV(RAND(),C9,C12)</f>
        <v>99.369559096645489</v>
      </c>
      <c r="D16" s="288">
        <f ca="1">_xlfn.NORM.INV(RAND(),D9,D12)</f>
        <v>96.674668277148314</v>
      </c>
      <c r="E16" s="288">
        <f ca="1">_xlfn.NORM.INV(RAND(),E9,E12)</f>
        <v>95.561588833647932</v>
      </c>
      <c r="F16" s="288">
        <f ca="1">_xlfn.NORM.INV(RAND(),F9,F12)</f>
        <v>92.954474511963923</v>
      </c>
    </row>
    <row r="17" spans="1:6" x14ac:dyDescent="0.25">
      <c r="A17" s="252">
        <v>1</v>
      </c>
      <c r="B17" s="116">
        <v>104.79556576103221</v>
      </c>
      <c r="C17" s="116">
        <v>99.615921399767146</v>
      </c>
      <c r="D17" s="116">
        <v>97.47194737274495</v>
      </c>
      <c r="E17" s="116">
        <v>95.853173109396508</v>
      </c>
      <c r="F17" s="116">
        <v>91.24301394419949</v>
      </c>
    </row>
    <row r="18" spans="1:6" x14ac:dyDescent="0.25">
      <c r="A18" s="252">
        <f>+A17+1</f>
        <v>2</v>
      </c>
      <c r="B18" s="116">
        <v>100.24407910708582</v>
      </c>
      <c r="C18" s="116">
        <v>99.259436998539954</v>
      </c>
      <c r="D18" s="116">
        <v>100.71270232284544</v>
      </c>
      <c r="E18" s="116">
        <v>96.34287165110679</v>
      </c>
      <c r="F18" s="116">
        <v>94.25916788651449</v>
      </c>
    </row>
    <row r="19" spans="1:6" x14ac:dyDescent="0.25">
      <c r="A19" s="252">
        <f t="shared" ref="A19:A82" si="0">+A18+1</f>
        <v>3</v>
      </c>
      <c r="B19" s="116">
        <v>100.44674658821131</v>
      </c>
      <c r="C19" s="116">
        <v>99.945233979643405</v>
      </c>
      <c r="D19" s="116">
        <v>97.05458372470676</v>
      </c>
      <c r="E19" s="116">
        <v>96.724684650173302</v>
      </c>
      <c r="F19" s="116">
        <v>92.206630543378481</v>
      </c>
    </row>
    <row r="20" spans="1:6" x14ac:dyDescent="0.25">
      <c r="A20" s="252">
        <f t="shared" si="0"/>
        <v>4</v>
      </c>
      <c r="B20" s="116">
        <v>102.14638133984721</v>
      </c>
      <c r="C20" s="116">
        <v>99.826951412686071</v>
      </c>
      <c r="D20" s="116">
        <v>94.655695974891728</v>
      </c>
      <c r="E20" s="116">
        <v>95.337131736228457</v>
      </c>
      <c r="F20" s="116">
        <v>93.870115078312793</v>
      </c>
    </row>
    <row r="21" spans="1:6" x14ac:dyDescent="0.25">
      <c r="A21" s="252">
        <f t="shared" si="0"/>
        <v>5</v>
      </c>
      <c r="B21" s="116">
        <v>101.24209255391372</v>
      </c>
      <c r="C21" s="116">
        <v>98.646211562138888</v>
      </c>
      <c r="D21" s="116">
        <v>99.149950733561766</v>
      </c>
      <c r="E21" s="116">
        <v>93.929488137982133</v>
      </c>
      <c r="F21" s="116">
        <v>93.411232506368037</v>
      </c>
    </row>
    <row r="22" spans="1:6" x14ac:dyDescent="0.25">
      <c r="A22" s="252">
        <f t="shared" si="0"/>
        <v>6</v>
      </c>
      <c r="B22" s="116">
        <v>101.93352572807534</v>
      </c>
      <c r="C22" s="116">
        <v>99.418815739412977</v>
      </c>
      <c r="D22" s="116">
        <v>97.25152720741599</v>
      </c>
      <c r="E22" s="116">
        <v>93.583364395638057</v>
      </c>
      <c r="F22" s="116">
        <v>94.534599217096428</v>
      </c>
    </row>
    <row r="23" spans="1:6" x14ac:dyDescent="0.25">
      <c r="A23" s="252">
        <f t="shared" si="0"/>
        <v>7</v>
      </c>
      <c r="B23" s="116">
        <v>104.03966425261885</v>
      </c>
      <c r="C23" s="116">
        <v>96.68304566973859</v>
      </c>
      <c r="D23" s="116">
        <v>97.772610911208659</v>
      </c>
      <c r="E23" s="116">
        <v>94.360382117777277</v>
      </c>
      <c r="F23" s="116">
        <v>93.378973347190879</v>
      </c>
    </row>
    <row r="24" spans="1:6" x14ac:dyDescent="0.25">
      <c r="A24" s="252">
        <f t="shared" si="0"/>
        <v>8</v>
      </c>
      <c r="B24" s="116">
        <v>100.24616738035978</v>
      </c>
      <c r="C24" s="116">
        <v>98.82119807734847</v>
      </c>
      <c r="D24" s="116">
        <v>100.41685844429708</v>
      </c>
      <c r="E24" s="116">
        <v>95.521406044848476</v>
      </c>
      <c r="F24" s="116">
        <v>91.220853777853748</v>
      </c>
    </row>
    <row r="25" spans="1:6" x14ac:dyDescent="0.25">
      <c r="A25" s="252">
        <f t="shared" si="0"/>
        <v>9</v>
      </c>
      <c r="B25" s="116">
        <v>102.4661261312358</v>
      </c>
      <c r="C25" s="116">
        <v>101.49718685844738</v>
      </c>
      <c r="D25" s="116">
        <v>95.951694304529539</v>
      </c>
      <c r="E25" s="116">
        <v>95.034515041604962</v>
      </c>
      <c r="F25" s="116">
        <v>91.098043119286544</v>
      </c>
    </row>
    <row r="26" spans="1:6" x14ac:dyDescent="0.25">
      <c r="A26" s="252">
        <f t="shared" si="0"/>
        <v>10</v>
      </c>
      <c r="B26" s="116">
        <v>100.3803839750109</v>
      </c>
      <c r="C26" s="116">
        <v>99.194091575654397</v>
      </c>
      <c r="D26" s="116">
        <v>98.176027212646659</v>
      </c>
      <c r="E26" s="116">
        <v>95.288118529390871</v>
      </c>
      <c r="F26" s="116">
        <v>91.087466909759399</v>
      </c>
    </row>
    <row r="27" spans="1:6" x14ac:dyDescent="0.25">
      <c r="A27" s="252">
        <f t="shared" si="0"/>
        <v>11</v>
      </c>
      <c r="B27" s="116">
        <v>101.93884311171495</v>
      </c>
      <c r="C27" s="116">
        <v>101.96873544543338</v>
      </c>
      <c r="D27" s="116">
        <v>94.697200536749591</v>
      </c>
      <c r="E27" s="116">
        <v>96.996681105184706</v>
      </c>
      <c r="F27" s="116">
        <v>91.912140951582259</v>
      </c>
    </row>
    <row r="28" spans="1:6" x14ac:dyDescent="0.25">
      <c r="A28" s="252">
        <f t="shared" si="0"/>
        <v>12</v>
      </c>
      <c r="B28" s="116">
        <v>98.464803568597119</v>
      </c>
      <c r="C28" s="116">
        <v>97.474341798288961</v>
      </c>
      <c r="D28" s="116">
        <v>100.03570391983119</v>
      </c>
      <c r="E28" s="116">
        <v>94.875241070241742</v>
      </c>
      <c r="F28" s="116">
        <v>93.546809759537538</v>
      </c>
    </row>
    <row r="29" spans="1:6" x14ac:dyDescent="0.25">
      <c r="A29" s="252">
        <f t="shared" si="0"/>
        <v>13</v>
      </c>
      <c r="B29" s="116">
        <v>103.07597454393216</v>
      </c>
      <c r="C29" s="116">
        <v>98.019283920175539</v>
      </c>
      <c r="D29" s="116">
        <v>95.728972856250309</v>
      </c>
      <c r="E29" s="116">
        <v>94.277462747206982</v>
      </c>
      <c r="F29" s="116">
        <v>92.175204441194609</v>
      </c>
    </row>
    <row r="30" spans="1:6" x14ac:dyDescent="0.25">
      <c r="A30" s="252">
        <f t="shared" si="0"/>
        <v>14</v>
      </c>
      <c r="B30" s="116">
        <v>99.575598628278925</v>
      </c>
      <c r="C30" s="116">
        <v>98.570991963412069</v>
      </c>
      <c r="D30" s="116">
        <v>98.442768764356302</v>
      </c>
      <c r="E30" s="116">
        <v>95.512139392239902</v>
      </c>
      <c r="F30" s="116">
        <v>92.812618419645631</v>
      </c>
    </row>
    <row r="31" spans="1:6" x14ac:dyDescent="0.25">
      <c r="A31" s="252">
        <f t="shared" si="0"/>
        <v>15</v>
      </c>
      <c r="B31" s="116">
        <v>105.3888623291824</v>
      </c>
      <c r="C31" s="116">
        <v>99.336305138501132</v>
      </c>
      <c r="D31" s="116">
        <v>94.789254925778366</v>
      </c>
      <c r="E31" s="116">
        <v>95.508667329478982</v>
      </c>
      <c r="F31" s="116">
        <v>92.004399183119517</v>
      </c>
    </row>
    <row r="32" spans="1:6" x14ac:dyDescent="0.25">
      <c r="A32" s="252">
        <f t="shared" si="0"/>
        <v>16</v>
      </c>
      <c r="B32" s="116">
        <v>100.94618445164947</v>
      </c>
      <c r="C32" s="116">
        <v>97.298956432345264</v>
      </c>
      <c r="D32" s="116">
        <v>95.723929126971129</v>
      </c>
      <c r="E32" s="116">
        <v>95.396613590887924</v>
      </c>
      <c r="F32" s="116">
        <v>93.762716563693544</v>
      </c>
    </row>
    <row r="33" spans="1:6" x14ac:dyDescent="0.25">
      <c r="A33" s="252">
        <f t="shared" si="0"/>
        <v>17</v>
      </c>
      <c r="B33" s="116">
        <v>101.12145489449318</v>
      </c>
      <c r="C33" s="116">
        <v>102.14244993084731</v>
      </c>
      <c r="D33" s="116">
        <v>94.864407301455586</v>
      </c>
      <c r="E33" s="116">
        <v>95.460979927012303</v>
      </c>
      <c r="F33" s="116">
        <v>93.702123682136261</v>
      </c>
    </row>
    <row r="34" spans="1:6" x14ac:dyDescent="0.25">
      <c r="A34" s="252">
        <f t="shared" si="0"/>
        <v>18</v>
      </c>
      <c r="B34" s="116">
        <v>99.941193470287089</v>
      </c>
      <c r="C34" s="116">
        <v>98.041568646000684</v>
      </c>
      <c r="D34" s="116">
        <v>96.779990011317054</v>
      </c>
      <c r="E34" s="116">
        <v>93.990665778631936</v>
      </c>
      <c r="F34" s="116">
        <v>92.524680314967924</v>
      </c>
    </row>
    <row r="35" spans="1:6" x14ac:dyDescent="0.25">
      <c r="A35" s="252">
        <f t="shared" si="0"/>
        <v>19</v>
      </c>
      <c r="B35" s="116">
        <v>100.16309906853792</v>
      </c>
      <c r="C35" s="116">
        <v>98.538432261727806</v>
      </c>
      <c r="D35" s="116">
        <v>98.388709215119846</v>
      </c>
      <c r="E35" s="116">
        <v>95.191264042278192</v>
      </c>
      <c r="F35" s="116">
        <v>92.677015008284172</v>
      </c>
    </row>
    <row r="36" spans="1:6" x14ac:dyDescent="0.25">
      <c r="A36" s="252">
        <f t="shared" si="0"/>
        <v>20</v>
      </c>
      <c r="B36" s="116">
        <v>101.50820288951414</v>
      </c>
      <c r="C36" s="116">
        <v>98.807976961576742</v>
      </c>
      <c r="D36" s="116">
        <v>95.154795531426956</v>
      </c>
      <c r="E36" s="116">
        <v>92.642089854156652</v>
      </c>
      <c r="F36" s="116">
        <v>93.489351790805898</v>
      </c>
    </row>
    <row r="37" spans="1:6" x14ac:dyDescent="0.25">
      <c r="A37" s="252">
        <f t="shared" si="0"/>
        <v>21</v>
      </c>
      <c r="B37" s="116">
        <v>101.45812071587648</v>
      </c>
      <c r="C37" s="116">
        <v>100.41827252127484</v>
      </c>
      <c r="D37" s="116">
        <v>96.234957867931897</v>
      </c>
      <c r="E37" s="116">
        <v>94.387296494378404</v>
      </c>
      <c r="F37" s="116">
        <v>95.851692394380549</v>
      </c>
    </row>
    <row r="38" spans="1:6" x14ac:dyDescent="0.25">
      <c r="A38" s="252">
        <f t="shared" si="0"/>
        <v>22</v>
      </c>
      <c r="B38" s="116">
        <v>98.184518535241395</v>
      </c>
      <c r="C38" s="116">
        <v>98.153929246853522</v>
      </c>
      <c r="D38" s="116">
        <v>94.840804347306147</v>
      </c>
      <c r="E38" s="116">
        <v>93.935584269113988</v>
      </c>
      <c r="F38" s="116">
        <v>93.489127674964664</v>
      </c>
    </row>
    <row r="39" spans="1:6" x14ac:dyDescent="0.25">
      <c r="A39" s="252">
        <f t="shared" si="0"/>
        <v>23</v>
      </c>
      <c r="B39" s="116">
        <v>101.07556685678055</v>
      </c>
      <c r="C39" s="116">
        <v>99.51327891571151</v>
      </c>
      <c r="D39" s="116">
        <v>95.76710842077641</v>
      </c>
      <c r="E39" s="116">
        <v>94.281265416726711</v>
      </c>
      <c r="F39" s="116">
        <v>92.975052306880698</v>
      </c>
    </row>
    <row r="40" spans="1:6" x14ac:dyDescent="0.25">
      <c r="A40" s="252">
        <f t="shared" si="0"/>
        <v>24</v>
      </c>
      <c r="B40" s="116">
        <v>102.94713891479242</v>
      </c>
      <c r="C40" s="116">
        <v>99.529098696209132</v>
      </c>
      <c r="D40" s="116">
        <v>95.315229722798094</v>
      </c>
      <c r="E40" s="116">
        <v>95.505779094994111</v>
      </c>
      <c r="F40" s="116">
        <v>91.571085546731695</v>
      </c>
    </row>
    <row r="41" spans="1:6" x14ac:dyDescent="0.25">
      <c r="A41" s="252">
        <f t="shared" si="0"/>
        <v>25</v>
      </c>
      <c r="B41" s="116">
        <v>100.61443898968997</v>
      </c>
      <c r="C41" s="116">
        <v>101.3759525703952</v>
      </c>
      <c r="D41" s="116">
        <v>96.708032358631314</v>
      </c>
      <c r="E41" s="116">
        <v>92.499694069007802</v>
      </c>
      <c r="F41" s="116">
        <v>92.221419304638459</v>
      </c>
    </row>
    <row r="42" spans="1:6" x14ac:dyDescent="0.25">
      <c r="A42" s="252">
        <f t="shared" si="0"/>
        <v>26</v>
      </c>
      <c r="B42" s="116">
        <v>99.822509060965729</v>
      </c>
      <c r="C42" s="116">
        <v>100.76338688882254</v>
      </c>
      <c r="D42" s="116">
        <v>95.175786826579767</v>
      </c>
      <c r="E42" s="116">
        <v>96.019475320934546</v>
      </c>
      <c r="F42" s="116">
        <v>92.966644326530727</v>
      </c>
    </row>
    <row r="43" spans="1:6" x14ac:dyDescent="0.25">
      <c r="A43" s="252">
        <f t="shared" si="0"/>
        <v>27</v>
      </c>
      <c r="B43" s="116">
        <v>102.13137539427204</v>
      </c>
      <c r="C43" s="116">
        <v>101.42257436592648</v>
      </c>
      <c r="D43" s="116">
        <v>97.112000660951878</v>
      </c>
      <c r="E43" s="116">
        <v>95.224758648072168</v>
      </c>
      <c r="F43" s="116">
        <v>92.438373774534355</v>
      </c>
    </row>
    <row r="44" spans="1:6" x14ac:dyDescent="0.25">
      <c r="A44" s="252">
        <f t="shared" si="0"/>
        <v>28</v>
      </c>
      <c r="B44" s="116">
        <v>96.223180970149514</v>
      </c>
      <c r="C44" s="116">
        <v>95.907559250991241</v>
      </c>
      <c r="D44" s="116">
        <v>97.022937164308559</v>
      </c>
      <c r="E44" s="116">
        <v>93.420508978277283</v>
      </c>
      <c r="F44" s="116">
        <v>91.611993564400009</v>
      </c>
    </row>
    <row r="45" spans="1:6" x14ac:dyDescent="0.25">
      <c r="A45" s="252">
        <f t="shared" si="0"/>
        <v>29</v>
      </c>
      <c r="B45" s="116">
        <v>97.5991754744649</v>
      </c>
      <c r="C45" s="116">
        <v>101.15982665548425</v>
      </c>
      <c r="D45" s="116">
        <v>96.40774102322959</v>
      </c>
      <c r="E45" s="116">
        <v>94.647015899063206</v>
      </c>
      <c r="F45" s="116">
        <v>94.57388742882992</v>
      </c>
    </row>
    <row r="46" spans="1:6" x14ac:dyDescent="0.25">
      <c r="A46" s="252">
        <f t="shared" si="0"/>
        <v>30</v>
      </c>
      <c r="B46" s="116">
        <v>102.41867641972887</v>
      </c>
      <c r="C46" s="116">
        <v>97.074923032533249</v>
      </c>
      <c r="D46" s="116">
        <v>95.655592082912463</v>
      </c>
      <c r="E46" s="116">
        <v>95.394562128256879</v>
      </c>
      <c r="F46" s="116">
        <v>93.95166312749059</v>
      </c>
    </row>
    <row r="47" spans="1:6" x14ac:dyDescent="0.25">
      <c r="A47" s="252">
        <f t="shared" si="0"/>
        <v>31</v>
      </c>
      <c r="B47" s="116">
        <v>107.24500902540659</v>
      </c>
      <c r="C47" s="116">
        <v>100.25692131076281</v>
      </c>
      <c r="D47" s="116">
        <v>96.110872719564981</v>
      </c>
      <c r="E47" s="116">
        <v>93.877427820405757</v>
      </c>
      <c r="F47" s="116">
        <v>93.696925682074195</v>
      </c>
    </row>
    <row r="48" spans="1:6" x14ac:dyDescent="0.25">
      <c r="A48" s="252">
        <f t="shared" si="0"/>
        <v>32</v>
      </c>
      <c r="B48" s="116">
        <v>105.45292501390827</v>
      </c>
      <c r="C48" s="116">
        <v>99.817925971887064</v>
      </c>
      <c r="D48" s="116">
        <v>97.92727571692501</v>
      </c>
      <c r="E48" s="116">
        <v>94.366761578663017</v>
      </c>
      <c r="F48" s="116">
        <v>93.788959979178486</v>
      </c>
    </row>
    <row r="49" spans="1:6" x14ac:dyDescent="0.25">
      <c r="A49" s="252">
        <f t="shared" si="0"/>
        <v>33</v>
      </c>
      <c r="B49" s="116">
        <v>103.97025639478578</v>
      </c>
      <c r="C49" s="116">
        <v>99.417165240291681</v>
      </c>
      <c r="D49" s="116">
        <v>96.586952486952768</v>
      </c>
      <c r="E49" s="116">
        <v>96.354992547433781</v>
      </c>
      <c r="F49" s="116">
        <v>92.007569879664672</v>
      </c>
    </row>
    <row r="50" spans="1:6" x14ac:dyDescent="0.25">
      <c r="A50" s="252">
        <f t="shared" si="0"/>
        <v>34</v>
      </c>
      <c r="B50" s="116">
        <v>104.88714748808185</v>
      </c>
      <c r="C50" s="116">
        <v>97.868712906654878</v>
      </c>
      <c r="D50" s="116">
        <v>96.933281913739549</v>
      </c>
      <c r="E50" s="116">
        <v>94.052604698166434</v>
      </c>
      <c r="F50" s="116">
        <v>94.833902259077576</v>
      </c>
    </row>
    <row r="51" spans="1:6" x14ac:dyDescent="0.25">
      <c r="A51" s="252">
        <f t="shared" si="0"/>
        <v>35</v>
      </c>
      <c r="B51" s="116">
        <v>100.73338138118984</v>
      </c>
      <c r="C51" s="116">
        <v>101.91833784779335</v>
      </c>
      <c r="D51" s="116">
        <v>96.586792657921691</v>
      </c>
      <c r="E51" s="116">
        <v>93.813861742578609</v>
      </c>
      <c r="F51" s="116">
        <v>92.894080403473367</v>
      </c>
    </row>
    <row r="52" spans="1:6" x14ac:dyDescent="0.25">
      <c r="A52" s="252">
        <f t="shared" si="0"/>
        <v>36</v>
      </c>
      <c r="B52" s="116">
        <v>103.57127770378547</v>
      </c>
      <c r="C52" s="116">
        <v>100.46992792840317</v>
      </c>
      <c r="D52" s="116">
        <v>98.277719551054503</v>
      </c>
      <c r="E52" s="116">
        <v>96.255207563949725</v>
      </c>
      <c r="F52" s="116">
        <v>93.635010328711957</v>
      </c>
    </row>
    <row r="53" spans="1:6" x14ac:dyDescent="0.25">
      <c r="A53" s="252">
        <f t="shared" si="0"/>
        <v>37</v>
      </c>
      <c r="B53" s="116">
        <v>103.30005202936449</v>
      </c>
      <c r="C53" s="116">
        <v>93.823168932417602</v>
      </c>
      <c r="D53" s="116">
        <v>96.826166042342351</v>
      </c>
      <c r="E53" s="116">
        <v>95.370188834967337</v>
      </c>
      <c r="F53" s="116">
        <v>93.734746054676521</v>
      </c>
    </row>
    <row r="54" spans="1:6" x14ac:dyDescent="0.25">
      <c r="A54" s="252">
        <f t="shared" si="0"/>
        <v>38</v>
      </c>
      <c r="B54" s="116">
        <v>104.95585553628383</v>
      </c>
      <c r="C54" s="116">
        <v>97.433104654310895</v>
      </c>
      <c r="D54" s="116">
        <v>97.349913330146919</v>
      </c>
      <c r="E54" s="116">
        <v>96.804260103492751</v>
      </c>
      <c r="F54" s="116">
        <v>93.56670158478525</v>
      </c>
    </row>
    <row r="55" spans="1:6" x14ac:dyDescent="0.25">
      <c r="A55" s="252">
        <f t="shared" si="0"/>
        <v>39</v>
      </c>
      <c r="B55" s="116">
        <v>103.30418183746846</v>
      </c>
      <c r="C55" s="116">
        <v>98.118849180672484</v>
      </c>
      <c r="D55" s="116">
        <v>98.31810391460229</v>
      </c>
      <c r="E55" s="116">
        <v>94.554074416299017</v>
      </c>
      <c r="F55" s="116">
        <v>92.936150268528579</v>
      </c>
    </row>
    <row r="56" spans="1:6" x14ac:dyDescent="0.25">
      <c r="A56" s="252">
        <f t="shared" si="0"/>
        <v>40</v>
      </c>
      <c r="B56" s="116">
        <v>101.45953050941338</v>
      </c>
      <c r="C56" s="116">
        <v>97.646788042611362</v>
      </c>
      <c r="D56" s="116">
        <v>96.521833024227647</v>
      </c>
      <c r="E56" s="116">
        <v>94.454028854499398</v>
      </c>
      <c r="F56" s="116">
        <v>92.921960295708658</v>
      </c>
    </row>
    <row r="57" spans="1:6" x14ac:dyDescent="0.25">
      <c r="A57" s="252">
        <f t="shared" si="0"/>
        <v>41</v>
      </c>
      <c r="B57" s="116">
        <v>105.55233624398197</v>
      </c>
      <c r="C57" s="116">
        <v>99.409162177885563</v>
      </c>
      <c r="D57" s="116">
        <v>96.47186471434847</v>
      </c>
      <c r="E57" s="116">
        <v>97.012847024872485</v>
      </c>
      <c r="F57" s="116">
        <v>93.836853354881043</v>
      </c>
    </row>
    <row r="58" spans="1:6" x14ac:dyDescent="0.25">
      <c r="A58" s="252">
        <f t="shared" si="0"/>
        <v>42</v>
      </c>
      <c r="B58" s="116">
        <v>98.583356211035976</v>
      </c>
      <c r="C58" s="116">
        <v>98.432917719463973</v>
      </c>
      <c r="D58" s="116">
        <v>98.028685650149015</v>
      </c>
      <c r="E58" s="116">
        <v>93.971134565458101</v>
      </c>
      <c r="F58" s="116">
        <v>94.171254869768362</v>
      </c>
    </row>
    <row r="59" spans="1:6" x14ac:dyDescent="0.25">
      <c r="A59" s="252">
        <f t="shared" si="0"/>
        <v>43</v>
      </c>
      <c r="B59" s="116">
        <v>101.16996127199393</v>
      </c>
      <c r="C59" s="116">
        <v>97.67839411423499</v>
      </c>
      <c r="D59" s="116">
        <v>96.539531765880099</v>
      </c>
      <c r="E59" s="116">
        <v>95.241146627641967</v>
      </c>
      <c r="F59" s="116">
        <v>92.288426680202377</v>
      </c>
    </row>
    <row r="60" spans="1:6" x14ac:dyDescent="0.25">
      <c r="A60" s="252">
        <f t="shared" si="0"/>
        <v>44</v>
      </c>
      <c r="B60" s="116">
        <v>103.09560337892979</v>
      </c>
      <c r="C60" s="116">
        <v>97.934716890034551</v>
      </c>
      <c r="D60" s="116">
        <v>98.466224804483716</v>
      </c>
      <c r="E60" s="116">
        <v>96.543848355304462</v>
      </c>
      <c r="F60" s="116">
        <v>93.22585481899398</v>
      </c>
    </row>
    <row r="61" spans="1:6" x14ac:dyDescent="0.25">
      <c r="A61" s="252">
        <f t="shared" si="0"/>
        <v>45</v>
      </c>
      <c r="B61" s="116">
        <v>101.08810709670638</v>
      </c>
      <c r="C61" s="116">
        <v>97.763599981546037</v>
      </c>
      <c r="D61" s="116">
        <v>97.318830932819154</v>
      </c>
      <c r="E61" s="116">
        <v>93.865940070256968</v>
      </c>
      <c r="F61" s="116">
        <v>93.326089464199569</v>
      </c>
    </row>
    <row r="62" spans="1:6" x14ac:dyDescent="0.25">
      <c r="A62" s="252">
        <f t="shared" si="0"/>
        <v>46</v>
      </c>
      <c r="B62" s="116">
        <v>100.16686423764133</v>
      </c>
      <c r="C62" s="116">
        <v>100.8732910373907</v>
      </c>
      <c r="D62" s="116">
        <v>99.038473977071519</v>
      </c>
      <c r="E62" s="116">
        <v>93.241399518963902</v>
      </c>
      <c r="F62" s="116">
        <v>92.571904877904245</v>
      </c>
    </row>
    <row r="63" spans="1:6" x14ac:dyDescent="0.25">
      <c r="A63" s="252">
        <f t="shared" si="0"/>
        <v>47</v>
      </c>
      <c r="B63" s="116">
        <v>101.03798358340298</v>
      </c>
      <c r="C63" s="116">
        <v>101.18708973975932</v>
      </c>
      <c r="D63" s="116">
        <v>96.730187620907159</v>
      </c>
      <c r="E63" s="116">
        <v>94.42302642114953</v>
      </c>
      <c r="F63" s="116">
        <v>93.796453289249484</v>
      </c>
    </row>
    <row r="64" spans="1:6" x14ac:dyDescent="0.25">
      <c r="A64" s="252">
        <f t="shared" si="0"/>
        <v>48</v>
      </c>
      <c r="B64" s="116">
        <v>99.468562567781973</v>
      </c>
      <c r="C64" s="116">
        <v>97.867043755489988</v>
      </c>
      <c r="D64" s="116">
        <v>95.569535667604057</v>
      </c>
      <c r="E64" s="116">
        <v>94.966051615491736</v>
      </c>
      <c r="F64" s="116">
        <v>91.434752923143193</v>
      </c>
    </row>
    <row r="65" spans="1:6" x14ac:dyDescent="0.25">
      <c r="A65" s="252">
        <f t="shared" si="0"/>
        <v>49</v>
      </c>
      <c r="B65" s="116">
        <v>101.03044070889491</v>
      </c>
      <c r="C65" s="116">
        <v>98.241354362945259</v>
      </c>
      <c r="D65" s="116">
        <v>98.225168156137741</v>
      </c>
      <c r="E65" s="116">
        <v>96.873314608209711</v>
      </c>
      <c r="F65" s="116">
        <v>93.418446114434943</v>
      </c>
    </row>
    <row r="66" spans="1:6" x14ac:dyDescent="0.25">
      <c r="A66" s="252">
        <f t="shared" si="0"/>
        <v>50</v>
      </c>
      <c r="B66" s="116">
        <v>101.9609057824708</v>
      </c>
      <c r="C66" s="116">
        <v>97.696577690570862</v>
      </c>
      <c r="D66" s="116">
        <v>97.83348722912136</v>
      </c>
      <c r="E66" s="116">
        <v>94.316105232746651</v>
      </c>
      <c r="F66" s="116">
        <v>93.610277785269489</v>
      </c>
    </row>
    <row r="67" spans="1:6" x14ac:dyDescent="0.25">
      <c r="A67" s="252">
        <f t="shared" si="0"/>
        <v>51</v>
      </c>
      <c r="B67" s="116">
        <v>100.80956576139144</v>
      </c>
      <c r="C67" s="116">
        <v>97.606275105040254</v>
      </c>
      <c r="D67" s="116">
        <v>97.813680453297081</v>
      </c>
      <c r="E67" s="116">
        <v>94.978984795125115</v>
      </c>
      <c r="F67" s="116">
        <v>93.980987647618207</v>
      </c>
    </row>
    <row r="68" spans="1:6" x14ac:dyDescent="0.25">
      <c r="A68" s="252">
        <f t="shared" si="0"/>
        <v>52</v>
      </c>
      <c r="B68" s="116">
        <v>103.2104028906877</v>
      </c>
      <c r="C68" s="116">
        <v>102.92134858260269</v>
      </c>
      <c r="D68" s="116">
        <v>93.55725141371866</v>
      </c>
      <c r="E68" s="116">
        <v>94.048483823916342</v>
      </c>
      <c r="F68" s="116">
        <v>93.077777169408066</v>
      </c>
    </row>
    <row r="69" spans="1:6" x14ac:dyDescent="0.25">
      <c r="A69" s="252">
        <f t="shared" si="0"/>
        <v>53</v>
      </c>
      <c r="B69" s="116">
        <v>103.61642492031928</v>
      </c>
      <c r="C69" s="116">
        <v>97.654543096709048</v>
      </c>
      <c r="D69" s="116">
        <v>96.63691892755709</v>
      </c>
      <c r="E69" s="116">
        <v>94.607470013462773</v>
      </c>
      <c r="F69" s="116">
        <v>93.397323007628017</v>
      </c>
    </row>
    <row r="70" spans="1:6" x14ac:dyDescent="0.25">
      <c r="A70" s="252">
        <f t="shared" si="0"/>
        <v>54</v>
      </c>
      <c r="B70" s="116">
        <v>102.22783336862194</v>
      </c>
      <c r="C70" s="116">
        <v>98.745352269637863</v>
      </c>
      <c r="D70" s="116">
        <v>96.835548008740219</v>
      </c>
      <c r="E70" s="116">
        <v>97.0585484288342</v>
      </c>
      <c r="F70" s="116">
        <v>93.810017920071544</v>
      </c>
    </row>
    <row r="71" spans="1:6" x14ac:dyDescent="0.25">
      <c r="A71" s="252">
        <f t="shared" si="0"/>
        <v>55</v>
      </c>
      <c r="B71" s="116">
        <v>102.29599365392968</v>
      </c>
      <c r="C71" s="116">
        <v>95.832794868697079</v>
      </c>
      <c r="D71" s="116">
        <v>98.64358509586765</v>
      </c>
      <c r="E71" s="116">
        <v>96.153515753875382</v>
      </c>
      <c r="F71" s="116">
        <v>92.032027735679563</v>
      </c>
    </row>
    <row r="72" spans="1:6" x14ac:dyDescent="0.25">
      <c r="A72" s="252">
        <f t="shared" si="0"/>
        <v>56</v>
      </c>
      <c r="B72" s="116">
        <v>99.765063522060785</v>
      </c>
      <c r="C72" s="116">
        <v>99.278795829552649</v>
      </c>
      <c r="D72" s="116">
        <v>96.301345662772263</v>
      </c>
      <c r="E72" s="116">
        <v>95.403095044165852</v>
      </c>
      <c r="F72" s="116">
        <v>91.988874606049151</v>
      </c>
    </row>
    <row r="73" spans="1:6" x14ac:dyDescent="0.25">
      <c r="A73" s="252">
        <f t="shared" si="0"/>
        <v>57</v>
      </c>
      <c r="B73" s="116">
        <v>98.360176264144968</v>
      </c>
      <c r="C73" s="116">
        <v>101.81337221991666</v>
      </c>
      <c r="D73" s="116">
        <v>98.132099268879841</v>
      </c>
      <c r="E73" s="116">
        <v>94.630040605583787</v>
      </c>
      <c r="F73" s="116">
        <v>94.095693424452335</v>
      </c>
    </row>
    <row r="74" spans="1:6" x14ac:dyDescent="0.25">
      <c r="A74" s="252">
        <f t="shared" si="0"/>
        <v>58</v>
      </c>
      <c r="B74" s="116">
        <v>103.15104307619256</v>
      </c>
      <c r="C74" s="116">
        <v>99.056626754640376</v>
      </c>
      <c r="D74" s="116">
        <v>97.211771237101317</v>
      </c>
      <c r="E74" s="116">
        <v>94.306484681308675</v>
      </c>
      <c r="F74" s="116">
        <v>90.882059879747843</v>
      </c>
    </row>
    <row r="75" spans="1:6" x14ac:dyDescent="0.25">
      <c r="A75" s="252">
        <f t="shared" si="0"/>
        <v>59</v>
      </c>
      <c r="B75" s="116">
        <v>104.65314475869015</v>
      </c>
      <c r="C75" s="116">
        <v>99.731326460975851</v>
      </c>
      <c r="D75" s="116">
        <v>95.564084257381381</v>
      </c>
      <c r="E75" s="116">
        <v>95.180843961696254</v>
      </c>
      <c r="F75" s="116">
        <v>92.972589521632983</v>
      </c>
    </row>
    <row r="76" spans="1:6" x14ac:dyDescent="0.25">
      <c r="A76" s="252">
        <f t="shared" si="0"/>
        <v>60</v>
      </c>
      <c r="B76" s="116">
        <v>98.888065942586579</v>
      </c>
      <c r="C76" s="116">
        <v>100.36744272318356</v>
      </c>
      <c r="D76" s="116">
        <v>97.044783016104191</v>
      </c>
      <c r="E76" s="116">
        <v>96.556596704372581</v>
      </c>
      <c r="F76" s="116">
        <v>94.082150452895917</v>
      </c>
    </row>
    <row r="77" spans="1:6" x14ac:dyDescent="0.25">
      <c r="A77" s="252">
        <f t="shared" si="0"/>
        <v>61</v>
      </c>
      <c r="B77" s="116">
        <v>101.09013312459616</v>
      </c>
      <c r="C77" s="116">
        <v>101.58127159239939</v>
      </c>
      <c r="D77" s="116">
        <v>97.173102682421231</v>
      </c>
      <c r="E77" s="116">
        <v>95.82143112777625</v>
      </c>
      <c r="F77" s="116">
        <v>93.297838277291419</v>
      </c>
    </row>
    <row r="78" spans="1:6" x14ac:dyDescent="0.25">
      <c r="A78" s="252">
        <f t="shared" si="0"/>
        <v>62</v>
      </c>
      <c r="B78" s="116">
        <v>103.31435908585183</v>
      </c>
      <c r="C78" s="116">
        <v>98.19789169674317</v>
      </c>
      <c r="D78" s="116">
        <v>96.232330130415221</v>
      </c>
      <c r="E78" s="116">
        <v>94.180474168108333</v>
      </c>
      <c r="F78" s="116">
        <v>93.454233156871709</v>
      </c>
    </row>
    <row r="79" spans="1:6" x14ac:dyDescent="0.25">
      <c r="A79" s="252">
        <f t="shared" si="0"/>
        <v>63</v>
      </c>
      <c r="B79" s="116">
        <v>101.8416580334485</v>
      </c>
      <c r="C79" s="116">
        <v>100.3195446789952</v>
      </c>
      <c r="D79" s="116">
        <v>94.841137247245456</v>
      </c>
      <c r="E79" s="116">
        <v>95.688191733966065</v>
      </c>
      <c r="F79" s="116">
        <v>92.856927893161966</v>
      </c>
    </row>
    <row r="80" spans="1:6" x14ac:dyDescent="0.25">
      <c r="A80" s="252">
        <f t="shared" si="0"/>
        <v>64</v>
      </c>
      <c r="B80" s="116">
        <v>104.39174474917587</v>
      </c>
      <c r="C80" s="116">
        <v>96.554776243510105</v>
      </c>
      <c r="D80" s="116">
        <v>94.756214764923541</v>
      </c>
      <c r="E80" s="116">
        <v>95.090154347874659</v>
      </c>
      <c r="F80" s="116">
        <v>92.185209606708511</v>
      </c>
    </row>
    <row r="81" spans="1:6" x14ac:dyDescent="0.25">
      <c r="A81" s="252">
        <f t="shared" si="0"/>
        <v>65</v>
      </c>
      <c r="B81" s="116">
        <v>103.8167303683518</v>
      </c>
      <c r="C81" s="116">
        <v>99.13267701260142</v>
      </c>
      <c r="D81" s="116">
        <v>97.077268551489382</v>
      </c>
      <c r="E81" s="116">
        <v>95.295184682166465</v>
      </c>
      <c r="F81" s="116">
        <v>93.39453704733917</v>
      </c>
    </row>
    <row r="82" spans="1:6" x14ac:dyDescent="0.25">
      <c r="A82" s="252">
        <f t="shared" si="0"/>
        <v>66</v>
      </c>
      <c r="B82" s="116">
        <v>100.82874665945172</v>
      </c>
      <c r="C82" s="116">
        <v>99.404763832528801</v>
      </c>
      <c r="D82" s="116">
        <v>96.972954194598614</v>
      </c>
      <c r="E82" s="116">
        <v>94.323183721270141</v>
      </c>
      <c r="F82" s="116">
        <v>93.418202919211822</v>
      </c>
    </row>
    <row r="83" spans="1:6" x14ac:dyDescent="0.25">
      <c r="A83" s="252">
        <f t="shared" ref="A83:A146" si="1">+A82+1</f>
        <v>67</v>
      </c>
      <c r="B83" s="116">
        <v>105.64785981834895</v>
      </c>
      <c r="C83" s="116">
        <v>97.691242448988149</v>
      </c>
      <c r="D83" s="116">
        <v>95.81507183622071</v>
      </c>
      <c r="E83" s="116">
        <v>95.04256723210483</v>
      </c>
      <c r="F83" s="116">
        <v>92.504604508437623</v>
      </c>
    </row>
    <row r="84" spans="1:6" x14ac:dyDescent="0.25">
      <c r="A84" s="252">
        <f t="shared" si="1"/>
        <v>68</v>
      </c>
      <c r="B84" s="116">
        <v>100.2558741884183</v>
      </c>
      <c r="C84" s="116">
        <v>99.186880425233909</v>
      </c>
      <c r="D84" s="116">
        <v>99.398722541076566</v>
      </c>
      <c r="E84" s="116">
        <v>95.737653314340406</v>
      </c>
      <c r="F84" s="116">
        <v>93.090698884930077</v>
      </c>
    </row>
    <row r="85" spans="1:6" x14ac:dyDescent="0.25">
      <c r="A85" s="252">
        <f t="shared" si="1"/>
        <v>69</v>
      </c>
      <c r="B85" s="116">
        <v>103.87882364601033</v>
      </c>
      <c r="C85" s="116">
        <v>99.610160752279626</v>
      </c>
      <c r="D85" s="116">
        <v>97.051640863361243</v>
      </c>
      <c r="E85" s="116">
        <v>95.955079564556499</v>
      </c>
      <c r="F85" s="116">
        <v>93.682861298760528</v>
      </c>
    </row>
    <row r="86" spans="1:6" x14ac:dyDescent="0.25">
      <c r="A86" s="252">
        <f t="shared" si="1"/>
        <v>70</v>
      </c>
      <c r="B86" s="116">
        <v>100.91505417706338</v>
      </c>
      <c r="C86" s="116">
        <v>99.842696966261173</v>
      </c>
      <c r="D86" s="116">
        <v>96.492094077414421</v>
      </c>
      <c r="E86" s="116">
        <v>94.750499242492268</v>
      </c>
      <c r="F86" s="116">
        <v>93.755721772099506</v>
      </c>
    </row>
    <row r="87" spans="1:6" x14ac:dyDescent="0.25">
      <c r="A87" s="252">
        <f t="shared" si="1"/>
        <v>71</v>
      </c>
      <c r="B87" s="116">
        <v>102.37054181357837</v>
      </c>
      <c r="C87" s="116">
        <v>101.34343071302347</v>
      </c>
      <c r="D87" s="116">
        <v>95.436559450453586</v>
      </c>
      <c r="E87" s="116">
        <v>94.496400125072057</v>
      </c>
      <c r="F87" s="116">
        <v>93.472809780963757</v>
      </c>
    </row>
    <row r="88" spans="1:6" x14ac:dyDescent="0.25">
      <c r="A88" s="252">
        <f t="shared" si="1"/>
        <v>72</v>
      </c>
      <c r="B88" s="116">
        <v>103.50100613717744</v>
      </c>
      <c r="C88" s="116">
        <v>101.88908883105694</v>
      </c>
      <c r="D88" s="116">
        <v>98.249686355427983</v>
      </c>
      <c r="E88" s="116">
        <v>96.15830949693418</v>
      </c>
      <c r="F88" s="116">
        <v>92.361325442134415</v>
      </c>
    </row>
    <row r="89" spans="1:6" x14ac:dyDescent="0.25">
      <c r="A89" s="252">
        <f t="shared" si="1"/>
        <v>73</v>
      </c>
      <c r="B89" s="116">
        <v>103.39374929753036</v>
      </c>
      <c r="C89" s="116">
        <v>95.052081554702085</v>
      </c>
      <c r="D89" s="116">
        <v>96.422585235975632</v>
      </c>
      <c r="E89" s="116">
        <v>94.478382635243463</v>
      </c>
      <c r="F89" s="116">
        <v>93.893691940156558</v>
      </c>
    </row>
    <row r="90" spans="1:6" x14ac:dyDescent="0.25">
      <c r="A90" s="252">
        <f t="shared" si="1"/>
        <v>74</v>
      </c>
      <c r="B90" s="116">
        <v>99.974250331881294</v>
      </c>
      <c r="C90" s="116">
        <v>100.65888923237829</v>
      </c>
      <c r="D90" s="116">
        <v>97.115733629907098</v>
      </c>
      <c r="E90" s="116">
        <v>93.371604724375459</v>
      </c>
      <c r="F90" s="116">
        <v>93.455306935059113</v>
      </c>
    </row>
    <row r="91" spans="1:6" x14ac:dyDescent="0.25">
      <c r="A91" s="252">
        <f t="shared" si="1"/>
        <v>75</v>
      </c>
      <c r="B91" s="116">
        <v>102.76929038955227</v>
      </c>
      <c r="C91" s="116">
        <v>102.70790399872476</v>
      </c>
      <c r="D91" s="116">
        <v>97.993168250412538</v>
      </c>
      <c r="E91" s="116">
        <v>95.493103226783433</v>
      </c>
      <c r="F91" s="116">
        <v>91.595442446138563</v>
      </c>
    </row>
    <row r="92" spans="1:6" x14ac:dyDescent="0.25">
      <c r="A92" s="252">
        <f t="shared" si="1"/>
        <v>76</v>
      </c>
      <c r="B92" s="116">
        <v>101.97502733567968</v>
      </c>
      <c r="C92" s="116">
        <v>99.934365591317317</v>
      </c>
      <c r="D92" s="116">
        <v>96.436481960898888</v>
      </c>
      <c r="E92" s="116">
        <v>95.231669586274919</v>
      </c>
      <c r="F92" s="116">
        <v>94.092140399687551</v>
      </c>
    </row>
    <row r="93" spans="1:6" x14ac:dyDescent="0.25">
      <c r="A93" s="252">
        <f t="shared" si="1"/>
        <v>77</v>
      </c>
      <c r="B93" s="116">
        <v>100.57320529279961</v>
      </c>
      <c r="C93" s="116">
        <v>100.30995024710593</v>
      </c>
      <c r="D93" s="116">
        <v>98.86121623104286</v>
      </c>
      <c r="E93" s="116">
        <v>94.981471325410723</v>
      </c>
      <c r="F93" s="116">
        <v>92.393749614346461</v>
      </c>
    </row>
    <row r="94" spans="1:6" x14ac:dyDescent="0.25">
      <c r="A94" s="252">
        <f t="shared" si="1"/>
        <v>78</v>
      </c>
      <c r="B94" s="116">
        <v>103.35810955920324</v>
      </c>
      <c r="C94" s="116">
        <v>97.199671835334527</v>
      </c>
      <c r="D94" s="116">
        <v>99.291344911919467</v>
      </c>
      <c r="E94" s="116">
        <v>94.92474918272147</v>
      </c>
      <c r="F94" s="116">
        <v>93.084528181727507</v>
      </c>
    </row>
    <row r="95" spans="1:6" x14ac:dyDescent="0.25">
      <c r="A95" s="252">
        <f t="shared" si="1"/>
        <v>79</v>
      </c>
      <c r="B95" s="116">
        <v>100.99469119495774</v>
      </c>
      <c r="C95" s="116">
        <v>99.110531057559967</v>
      </c>
      <c r="D95" s="116">
        <v>98.025629571725304</v>
      </c>
      <c r="E95" s="116">
        <v>94.14558760545998</v>
      </c>
      <c r="F95" s="116">
        <v>92.711116284730608</v>
      </c>
    </row>
    <row r="96" spans="1:6" x14ac:dyDescent="0.25">
      <c r="A96" s="252">
        <f t="shared" si="1"/>
        <v>80</v>
      </c>
      <c r="B96" s="116">
        <v>104.57492897996867</v>
      </c>
      <c r="C96" s="116">
        <v>98.134275117623133</v>
      </c>
      <c r="D96" s="116">
        <v>99.310068336184486</v>
      </c>
      <c r="E96" s="116">
        <v>94.950848851650278</v>
      </c>
      <c r="F96" s="116">
        <v>92.627096288502102</v>
      </c>
    </row>
    <row r="97" spans="1:6" x14ac:dyDescent="0.25">
      <c r="A97" s="252">
        <f t="shared" si="1"/>
        <v>81</v>
      </c>
      <c r="B97" s="116">
        <v>101.32466267828507</v>
      </c>
      <c r="C97" s="116">
        <v>98.480464028355669</v>
      </c>
      <c r="D97" s="116">
        <v>97.437570664977073</v>
      </c>
      <c r="E97" s="116">
        <v>95.17634927269404</v>
      </c>
      <c r="F97" s="116">
        <v>92.322723665574784</v>
      </c>
    </row>
    <row r="98" spans="1:6" x14ac:dyDescent="0.25">
      <c r="A98" s="252">
        <f t="shared" si="1"/>
        <v>82</v>
      </c>
      <c r="B98" s="116">
        <v>101.01124996243102</v>
      </c>
      <c r="C98" s="116">
        <v>96.469979459220326</v>
      </c>
      <c r="D98" s="116">
        <v>97.286056657622794</v>
      </c>
      <c r="E98" s="116">
        <v>95.758622778273619</v>
      </c>
      <c r="F98" s="116">
        <v>93.100560724116136</v>
      </c>
    </row>
    <row r="99" spans="1:6" x14ac:dyDescent="0.25">
      <c r="A99" s="252">
        <f t="shared" si="1"/>
        <v>83</v>
      </c>
      <c r="B99" s="116">
        <v>102.1137057066841</v>
      </c>
      <c r="C99" s="116">
        <v>100.13252079939957</v>
      </c>
      <c r="D99" s="116">
        <v>96.678227411916694</v>
      </c>
      <c r="E99" s="116">
        <v>93.415466408538279</v>
      </c>
      <c r="F99" s="116">
        <v>92.947512208570714</v>
      </c>
    </row>
    <row r="100" spans="1:6" x14ac:dyDescent="0.25">
      <c r="A100" s="252">
        <f t="shared" si="1"/>
        <v>84</v>
      </c>
      <c r="B100" s="116">
        <v>101.24381564069012</v>
      </c>
      <c r="C100" s="116">
        <v>97.939054245426334</v>
      </c>
      <c r="D100" s="116">
        <v>97.131416565268594</v>
      </c>
      <c r="E100" s="116">
        <v>93.461466582549832</v>
      </c>
      <c r="F100" s="116">
        <v>91.743003119114277</v>
      </c>
    </row>
    <row r="101" spans="1:6" x14ac:dyDescent="0.25">
      <c r="A101" s="252">
        <f t="shared" si="1"/>
        <v>85</v>
      </c>
      <c r="B101" s="116">
        <v>95.595450167050316</v>
      </c>
      <c r="C101" s="116">
        <v>97.568326303394826</v>
      </c>
      <c r="D101" s="116">
        <v>97.213755340080766</v>
      </c>
      <c r="E101" s="116">
        <v>97.600330191115376</v>
      </c>
      <c r="F101" s="116">
        <v>93.826251577938109</v>
      </c>
    </row>
    <row r="102" spans="1:6" x14ac:dyDescent="0.25">
      <c r="A102" s="252">
        <f t="shared" si="1"/>
        <v>86</v>
      </c>
      <c r="B102" s="116">
        <v>99.531169342285594</v>
      </c>
      <c r="C102" s="116">
        <v>100.03412862366247</v>
      </c>
      <c r="D102" s="116">
        <v>96.346013912405212</v>
      </c>
      <c r="E102" s="116">
        <v>96.00629003434041</v>
      </c>
      <c r="F102" s="116">
        <v>92.420337082077282</v>
      </c>
    </row>
    <row r="103" spans="1:6" x14ac:dyDescent="0.25">
      <c r="A103" s="252">
        <f t="shared" si="1"/>
        <v>87</v>
      </c>
      <c r="B103" s="116">
        <v>104.16061736366862</v>
      </c>
      <c r="C103" s="116">
        <v>99.157159937842607</v>
      </c>
      <c r="D103" s="116">
        <v>99.292877329839612</v>
      </c>
      <c r="E103" s="116">
        <v>96.167327206627348</v>
      </c>
      <c r="F103" s="116">
        <v>93.406891631141761</v>
      </c>
    </row>
    <row r="104" spans="1:6" x14ac:dyDescent="0.25">
      <c r="A104" s="252">
        <f t="shared" si="1"/>
        <v>88</v>
      </c>
      <c r="B104" s="116">
        <v>102.12311128027555</v>
      </c>
      <c r="C104" s="116">
        <v>98.507286838107945</v>
      </c>
      <c r="D104" s="116">
        <v>95.480289415067602</v>
      </c>
      <c r="E104" s="116">
        <v>96.290014375854355</v>
      </c>
      <c r="F104" s="116">
        <v>91.582795605031066</v>
      </c>
    </row>
    <row r="105" spans="1:6" x14ac:dyDescent="0.25">
      <c r="A105" s="252">
        <f t="shared" si="1"/>
        <v>89</v>
      </c>
      <c r="B105" s="116">
        <v>99.898060906030963</v>
      </c>
      <c r="C105" s="116">
        <v>99.996359595469272</v>
      </c>
      <c r="D105" s="116">
        <v>98.11350558229779</v>
      </c>
      <c r="E105" s="116">
        <v>94.656403592664844</v>
      </c>
      <c r="F105" s="116">
        <v>92.607199330232362</v>
      </c>
    </row>
    <row r="106" spans="1:6" x14ac:dyDescent="0.25">
      <c r="A106" s="252">
        <f t="shared" si="1"/>
        <v>90</v>
      </c>
      <c r="B106" s="116">
        <v>101.85616457190341</v>
      </c>
      <c r="C106" s="116">
        <v>96.463607375124241</v>
      </c>
      <c r="D106" s="116">
        <v>95.529409196000927</v>
      </c>
      <c r="E106" s="116">
        <v>93.112825101440379</v>
      </c>
      <c r="F106" s="116">
        <v>94.621822810433386</v>
      </c>
    </row>
    <row r="107" spans="1:6" x14ac:dyDescent="0.25">
      <c r="A107" s="252">
        <f t="shared" si="1"/>
        <v>91</v>
      </c>
      <c r="B107" s="116">
        <v>101.51760966793152</v>
      </c>
      <c r="C107" s="116">
        <v>95.370925715423667</v>
      </c>
      <c r="D107" s="116">
        <v>93.70388146728601</v>
      </c>
      <c r="E107" s="116">
        <v>96.28712838324644</v>
      </c>
      <c r="F107" s="116">
        <v>93.229115618209079</v>
      </c>
    </row>
    <row r="108" spans="1:6" x14ac:dyDescent="0.25">
      <c r="A108" s="252">
        <f t="shared" si="1"/>
        <v>92</v>
      </c>
      <c r="B108" s="116">
        <v>104.22829640562068</v>
      </c>
      <c r="C108" s="116">
        <v>99.630056323145126</v>
      </c>
      <c r="D108" s="116">
        <v>96.602276656621015</v>
      </c>
      <c r="E108" s="116">
        <v>93.564772979386092</v>
      </c>
      <c r="F108" s="116">
        <v>93.043705079668115</v>
      </c>
    </row>
    <row r="109" spans="1:6" x14ac:dyDescent="0.25">
      <c r="A109" s="252">
        <f t="shared" si="1"/>
        <v>93</v>
      </c>
      <c r="B109" s="116">
        <v>100.96357701310508</v>
      </c>
      <c r="C109" s="116">
        <v>100.40804549849705</v>
      </c>
      <c r="D109" s="116">
        <v>95.407872075565137</v>
      </c>
      <c r="E109" s="116">
        <v>94.778559757399563</v>
      </c>
      <c r="F109" s="116">
        <v>91.833775565103096</v>
      </c>
    </row>
    <row r="110" spans="1:6" x14ac:dyDescent="0.25">
      <c r="A110" s="252">
        <f t="shared" si="1"/>
        <v>94</v>
      </c>
      <c r="B110" s="116">
        <v>101.26040786020477</v>
      </c>
      <c r="C110" s="116">
        <v>102.08731379653983</v>
      </c>
      <c r="D110" s="116">
        <v>96.613589797745348</v>
      </c>
      <c r="E110" s="116">
        <v>93.849897697651613</v>
      </c>
      <c r="F110" s="116">
        <v>93.057261396912935</v>
      </c>
    </row>
    <row r="111" spans="1:6" x14ac:dyDescent="0.25">
      <c r="A111" s="252">
        <f t="shared" si="1"/>
        <v>95</v>
      </c>
      <c r="B111" s="116">
        <v>102.32035687085296</v>
      </c>
      <c r="C111" s="116">
        <v>99.561097507145519</v>
      </c>
      <c r="D111" s="116">
        <v>98.465687671570507</v>
      </c>
      <c r="E111" s="116">
        <v>92.705481518199079</v>
      </c>
      <c r="F111" s="116">
        <v>93.29657761890634</v>
      </c>
    </row>
    <row r="112" spans="1:6" x14ac:dyDescent="0.25">
      <c r="A112" s="252">
        <f t="shared" si="1"/>
        <v>96</v>
      </c>
      <c r="B112" s="116">
        <v>101.91521389441766</v>
      </c>
      <c r="C112" s="116">
        <v>97.599342062768358</v>
      </c>
      <c r="D112" s="116">
        <v>97.505535329619732</v>
      </c>
      <c r="E112" s="116">
        <v>96.275939873487076</v>
      </c>
      <c r="F112" s="116">
        <v>91.932990575253044</v>
      </c>
    </row>
    <row r="113" spans="1:6" x14ac:dyDescent="0.25">
      <c r="A113" s="252">
        <f t="shared" si="1"/>
        <v>97</v>
      </c>
      <c r="B113" s="116">
        <v>102.71663960252724</v>
      </c>
      <c r="C113" s="116">
        <v>97.632718487527981</v>
      </c>
      <c r="D113" s="116">
        <v>97.101396931524519</v>
      </c>
      <c r="E113" s="116">
        <v>95.413169158847197</v>
      </c>
      <c r="F113" s="116">
        <v>92.110165596615829</v>
      </c>
    </row>
    <row r="114" spans="1:6" x14ac:dyDescent="0.25">
      <c r="A114" s="252">
        <f t="shared" si="1"/>
        <v>98</v>
      </c>
      <c r="B114" s="116">
        <v>102.00699498252234</v>
      </c>
      <c r="C114" s="116">
        <v>101.798928608081</v>
      </c>
      <c r="D114" s="116">
        <v>96.050448989621302</v>
      </c>
      <c r="E114" s="116">
        <v>94.256235830266988</v>
      </c>
      <c r="F114" s="116">
        <v>93.467440064136852</v>
      </c>
    </row>
    <row r="115" spans="1:6" x14ac:dyDescent="0.25">
      <c r="A115" s="252">
        <f t="shared" si="1"/>
        <v>99</v>
      </c>
      <c r="B115" s="116">
        <v>101.77335504332278</v>
      </c>
      <c r="C115" s="116">
        <v>96.174101579777385</v>
      </c>
      <c r="D115" s="116">
        <v>97.123146679588316</v>
      </c>
      <c r="E115" s="116">
        <v>96.34959462604877</v>
      </c>
      <c r="F115" s="116">
        <v>94.199687065646202</v>
      </c>
    </row>
    <row r="116" spans="1:6" x14ac:dyDescent="0.25">
      <c r="A116" s="252">
        <f t="shared" si="1"/>
        <v>100</v>
      </c>
      <c r="B116" s="116">
        <v>101.51503181172164</v>
      </c>
      <c r="C116" s="116">
        <v>100.73998018508438</v>
      </c>
      <c r="D116" s="116">
        <v>96.81403316302152</v>
      </c>
      <c r="E116" s="116">
        <v>96.956885422504072</v>
      </c>
      <c r="F116" s="116">
        <v>94.253774193756158</v>
      </c>
    </row>
    <row r="117" spans="1:6" x14ac:dyDescent="0.25">
      <c r="A117" s="252">
        <f t="shared" si="1"/>
        <v>101</v>
      </c>
      <c r="B117" s="116">
        <v>103.80499576138195</v>
      </c>
      <c r="C117" s="116">
        <v>99.121354472736613</v>
      </c>
      <c r="D117" s="116">
        <v>96.868796191147297</v>
      </c>
      <c r="E117" s="116">
        <v>95.905495049635718</v>
      </c>
      <c r="F117" s="116">
        <v>92.606568124455521</v>
      </c>
    </row>
    <row r="118" spans="1:6" x14ac:dyDescent="0.25">
      <c r="A118" s="252">
        <f t="shared" si="1"/>
        <v>102</v>
      </c>
      <c r="B118" s="116">
        <v>106.18664202135209</v>
      </c>
      <c r="C118" s="116">
        <v>96.761843197481852</v>
      </c>
      <c r="D118" s="116">
        <v>96.946253923137732</v>
      </c>
      <c r="E118" s="116">
        <v>95.930902053535959</v>
      </c>
      <c r="F118" s="116">
        <v>93.357955476838256</v>
      </c>
    </row>
    <row r="119" spans="1:6" x14ac:dyDescent="0.25">
      <c r="A119" s="252">
        <f t="shared" si="1"/>
        <v>103</v>
      </c>
      <c r="B119" s="116">
        <v>100.80395553276313</v>
      </c>
      <c r="C119" s="116">
        <v>97.501358110389219</v>
      </c>
      <c r="D119" s="116">
        <v>96.839382427253895</v>
      </c>
      <c r="E119" s="116">
        <v>91.814298282215844</v>
      </c>
      <c r="F119" s="116">
        <v>91.969074000900349</v>
      </c>
    </row>
    <row r="120" spans="1:6" x14ac:dyDescent="0.25">
      <c r="A120" s="252">
        <f t="shared" si="1"/>
        <v>104</v>
      </c>
      <c r="B120" s="116">
        <v>102.70122442120365</v>
      </c>
      <c r="C120" s="116">
        <v>100.10354631496226</v>
      </c>
      <c r="D120" s="116">
        <v>98.140866063344589</v>
      </c>
      <c r="E120" s="116">
        <v>94.571071312800171</v>
      </c>
      <c r="F120" s="116">
        <v>94.27943136659556</v>
      </c>
    </row>
    <row r="121" spans="1:6" x14ac:dyDescent="0.25">
      <c r="A121" s="252">
        <f t="shared" si="1"/>
        <v>105</v>
      </c>
      <c r="B121" s="116">
        <v>100.76178925934006</v>
      </c>
      <c r="C121" s="116">
        <v>99.632493600478142</v>
      </c>
      <c r="D121" s="116">
        <v>98.494580705032647</v>
      </c>
      <c r="E121" s="116">
        <v>95.873931125919881</v>
      </c>
      <c r="F121" s="116">
        <v>94.80002737566997</v>
      </c>
    </row>
    <row r="122" spans="1:6" x14ac:dyDescent="0.25">
      <c r="A122" s="252">
        <f t="shared" si="1"/>
        <v>106</v>
      </c>
      <c r="B122" s="116">
        <v>103.57006667936943</v>
      </c>
      <c r="C122" s="116">
        <v>99.854880509178145</v>
      </c>
      <c r="D122" s="116">
        <v>96.17841757762244</v>
      </c>
      <c r="E122" s="116">
        <v>96.680656261819124</v>
      </c>
      <c r="F122" s="116">
        <v>93.868586588387572</v>
      </c>
    </row>
    <row r="123" spans="1:6" x14ac:dyDescent="0.25">
      <c r="A123" s="252">
        <f t="shared" si="1"/>
        <v>107</v>
      </c>
      <c r="B123" s="116">
        <v>103.0701226387354</v>
      </c>
      <c r="C123" s="116">
        <v>97.83161535030986</v>
      </c>
      <c r="D123" s="116">
        <v>96.263098876584621</v>
      </c>
      <c r="E123" s="116">
        <v>92.81557224841869</v>
      </c>
      <c r="F123" s="116">
        <v>93.918128571789509</v>
      </c>
    </row>
    <row r="124" spans="1:6" x14ac:dyDescent="0.25">
      <c r="A124" s="252">
        <f t="shared" si="1"/>
        <v>108</v>
      </c>
      <c r="B124" s="116">
        <v>101.25539956789613</v>
      </c>
      <c r="C124" s="116">
        <v>98.942801863578708</v>
      </c>
      <c r="D124" s="116">
        <v>98.629672994384194</v>
      </c>
      <c r="E124" s="116">
        <v>95.32027693375683</v>
      </c>
      <c r="F124" s="116">
        <v>93.00886102439749</v>
      </c>
    </row>
    <row r="125" spans="1:6" x14ac:dyDescent="0.25">
      <c r="A125" s="252">
        <f t="shared" si="1"/>
        <v>109</v>
      </c>
      <c r="B125" s="116">
        <v>103.44258365705673</v>
      </c>
      <c r="C125" s="116">
        <v>97.5580091374852</v>
      </c>
      <c r="D125" s="116">
        <v>98.755514294686975</v>
      </c>
      <c r="E125" s="116">
        <v>96.980153347454774</v>
      </c>
      <c r="F125" s="116">
        <v>94.346140766983126</v>
      </c>
    </row>
    <row r="126" spans="1:6" x14ac:dyDescent="0.25">
      <c r="A126" s="252">
        <f t="shared" si="1"/>
        <v>110</v>
      </c>
      <c r="B126" s="116">
        <v>102.22625035982571</v>
      </c>
      <c r="C126" s="116">
        <v>100.22692540227</v>
      </c>
      <c r="D126" s="116">
        <v>97.685091997466031</v>
      </c>
      <c r="E126" s="116">
        <v>95.50035979455015</v>
      </c>
      <c r="F126" s="116">
        <v>91.122694252276503</v>
      </c>
    </row>
    <row r="127" spans="1:6" x14ac:dyDescent="0.25">
      <c r="A127" s="252">
        <f t="shared" si="1"/>
        <v>111</v>
      </c>
      <c r="B127" s="116">
        <v>108.07950282602683</v>
      </c>
      <c r="C127" s="116">
        <v>100.28885136687242</v>
      </c>
      <c r="D127" s="116">
        <v>97.111214100704103</v>
      </c>
      <c r="E127" s="116">
        <v>93.93703956888028</v>
      </c>
      <c r="F127" s="116">
        <v>92.134342060814376</v>
      </c>
    </row>
    <row r="128" spans="1:6" x14ac:dyDescent="0.25">
      <c r="A128" s="252">
        <f t="shared" si="1"/>
        <v>112</v>
      </c>
      <c r="B128" s="116">
        <v>97.311349855178648</v>
      </c>
      <c r="C128" s="116">
        <v>98.722140171200365</v>
      </c>
      <c r="D128" s="116">
        <v>96.544198542276661</v>
      </c>
      <c r="E128" s="116">
        <v>94.601375703130572</v>
      </c>
      <c r="F128" s="116">
        <v>92.846981757636769</v>
      </c>
    </row>
    <row r="129" spans="1:6" x14ac:dyDescent="0.25">
      <c r="A129" s="252">
        <f t="shared" si="1"/>
        <v>113</v>
      </c>
      <c r="B129" s="116">
        <v>102.59348487445712</v>
      </c>
      <c r="C129" s="116">
        <v>99.389457515896098</v>
      </c>
      <c r="D129" s="116">
        <v>95.885316577900056</v>
      </c>
      <c r="E129" s="116">
        <v>96.499398341399328</v>
      </c>
      <c r="F129" s="116">
        <v>93.194533292055922</v>
      </c>
    </row>
    <row r="130" spans="1:6" x14ac:dyDescent="0.25">
      <c r="A130" s="252">
        <f t="shared" si="1"/>
        <v>114</v>
      </c>
      <c r="B130" s="116">
        <v>101.75474110820078</v>
      </c>
      <c r="C130" s="116">
        <v>98.945382040531001</v>
      </c>
      <c r="D130" s="116">
        <v>98.066423820774119</v>
      </c>
      <c r="E130" s="116">
        <v>95.705372154352133</v>
      </c>
      <c r="F130" s="116">
        <v>93.042504539691933</v>
      </c>
    </row>
    <row r="131" spans="1:6" x14ac:dyDescent="0.25">
      <c r="A131" s="252">
        <f t="shared" si="1"/>
        <v>115</v>
      </c>
      <c r="B131" s="116">
        <v>102.88169838887482</v>
      </c>
      <c r="C131" s="116">
        <v>98.232982772900215</v>
      </c>
      <c r="D131" s="116">
        <v>94.737593996131068</v>
      </c>
      <c r="E131" s="116">
        <v>96.773460036552692</v>
      </c>
      <c r="F131" s="116">
        <v>93.400548249606487</v>
      </c>
    </row>
    <row r="132" spans="1:6" x14ac:dyDescent="0.25">
      <c r="A132" s="252">
        <f t="shared" si="1"/>
        <v>116</v>
      </c>
      <c r="B132" s="116">
        <v>101.64827945171609</v>
      </c>
      <c r="C132" s="116">
        <v>99.414965169122027</v>
      </c>
      <c r="D132" s="116">
        <v>96.258473141974193</v>
      </c>
      <c r="E132" s="116">
        <v>94.296527051306668</v>
      </c>
      <c r="F132" s="116">
        <v>93.279367211336364</v>
      </c>
    </row>
    <row r="133" spans="1:6" x14ac:dyDescent="0.25">
      <c r="A133" s="252">
        <f t="shared" si="1"/>
        <v>117</v>
      </c>
      <c r="B133" s="116">
        <v>103.3151828360826</v>
      </c>
      <c r="C133" s="116">
        <v>97.739026103400036</v>
      </c>
      <c r="D133" s="116">
        <v>97.362473399401836</v>
      </c>
      <c r="E133" s="116">
        <v>94.171830306418457</v>
      </c>
      <c r="F133" s="116">
        <v>94.206521982623869</v>
      </c>
    </row>
    <row r="134" spans="1:6" x14ac:dyDescent="0.25">
      <c r="A134" s="252">
        <f t="shared" si="1"/>
        <v>118</v>
      </c>
      <c r="B134" s="116">
        <v>103.19258900496409</v>
      </c>
      <c r="C134" s="116">
        <v>101.53677051932927</v>
      </c>
      <c r="D134" s="116">
        <v>97.070596555864896</v>
      </c>
      <c r="E134" s="116">
        <v>95.505757543061847</v>
      </c>
      <c r="F134" s="116">
        <v>93.007858132151668</v>
      </c>
    </row>
    <row r="135" spans="1:6" x14ac:dyDescent="0.25">
      <c r="A135" s="252">
        <f t="shared" si="1"/>
        <v>119</v>
      </c>
      <c r="B135" s="116">
        <v>104.88028459953081</v>
      </c>
      <c r="C135" s="116">
        <v>99.830008720127537</v>
      </c>
      <c r="D135" s="116">
        <v>94.942789323085591</v>
      </c>
      <c r="E135" s="116">
        <v>93.003087421707662</v>
      </c>
      <c r="F135" s="116">
        <v>91.842108220396454</v>
      </c>
    </row>
    <row r="136" spans="1:6" x14ac:dyDescent="0.25">
      <c r="A136" s="252">
        <f t="shared" si="1"/>
        <v>120</v>
      </c>
      <c r="B136" s="116">
        <v>99.777092495012312</v>
      </c>
      <c r="C136" s="116">
        <v>99.107331584036189</v>
      </c>
      <c r="D136" s="116">
        <v>99.191000813376633</v>
      </c>
      <c r="E136" s="116">
        <v>95.006315238779479</v>
      </c>
      <c r="F136" s="116">
        <v>93.079893287306177</v>
      </c>
    </row>
    <row r="137" spans="1:6" x14ac:dyDescent="0.25">
      <c r="A137" s="252">
        <f t="shared" si="1"/>
        <v>121</v>
      </c>
      <c r="B137" s="116">
        <v>98.464409417930071</v>
      </c>
      <c r="C137" s="116">
        <v>98.251593820985917</v>
      </c>
      <c r="D137" s="116">
        <v>97.206326114928189</v>
      </c>
      <c r="E137" s="116">
        <v>95.729091449931587</v>
      </c>
      <c r="F137" s="116">
        <v>92.387456949682246</v>
      </c>
    </row>
    <row r="138" spans="1:6" x14ac:dyDescent="0.25">
      <c r="A138" s="252">
        <f t="shared" si="1"/>
        <v>122</v>
      </c>
      <c r="B138" s="116">
        <v>103.78738991157518</v>
      </c>
      <c r="C138" s="116">
        <v>99.191522167279231</v>
      </c>
      <c r="D138" s="116">
        <v>94.440182039493195</v>
      </c>
      <c r="E138" s="116">
        <v>93.614231986628923</v>
      </c>
      <c r="F138" s="116">
        <v>93.273761688204075</v>
      </c>
    </row>
    <row r="139" spans="1:6" x14ac:dyDescent="0.25">
      <c r="A139" s="252">
        <f t="shared" si="1"/>
        <v>123</v>
      </c>
      <c r="B139" s="116">
        <v>100.87785094695033</v>
      </c>
      <c r="C139" s="116">
        <v>94.977918459404478</v>
      </c>
      <c r="D139" s="116">
        <v>96.494060447770451</v>
      </c>
      <c r="E139" s="116">
        <v>95.021516679750192</v>
      </c>
      <c r="F139" s="116">
        <v>93.60358035181153</v>
      </c>
    </row>
    <row r="140" spans="1:6" x14ac:dyDescent="0.25">
      <c r="A140" s="252">
        <f t="shared" si="1"/>
        <v>124</v>
      </c>
      <c r="B140" s="116">
        <v>103.87681918316406</v>
      </c>
      <c r="C140" s="116">
        <v>99.777774202657426</v>
      </c>
      <c r="D140" s="116">
        <v>98.895341169323416</v>
      </c>
      <c r="E140" s="116">
        <v>95.621538797577358</v>
      </c>
      <c r="F140" s="116">
        <v>92.527930379902813</v>
      </c>
    </row>
    <row r="141" spans="1:6" x14ac:dyDescent="0.25">
      <c r="A141" s="252">
        <f t="shared" si="1"/>
        <v>125</v>
      </c>
      <c r="B141" s="116">
        <v>100.77475089630936</v>
      </c>
      <c r="C141" s="116">
        <v>97.761248204559536</v>
      </c>
      <c r="D141" s="116">
        <v>98.413037280166165</v>
      </c>
      <c r="E141" s="116">
        <v>95.816209233365129</v>
      </c>
      <c r="F141" s="116">
        <v>92.79261904019215</v>
      </c>
    </row>
    <row r="142" spans="1:6" x14ac:dyDescent="0.25">
      <c r="A142" s="252">
        <f t="shared" si="1"/>
        <v>126</v>
      </c>
      <c r="B142" s="116">
        <v>102.88428433541563</v>
      </c>
      <c r="C142" s="116">
        <v>97.360421870070411</v>
      </c>
      <c r="D142" s="116">
        <v>97.475263220986491</v>
      </c>
      <c r="E142" s="116">
        <v>95.773067922701458</v>
      </c>
      <c r="F142" s="116">
        <v>93.012737576080113</v>
      </c>
    </row>
    <row r="143" spans="1:6" x14ac:dyDescent="0.25">
      <c r="A143" s="252">
        <f t="shared" si="1"/>
        <v>127</v>
      </c>
      <c r="B143" s="116">
        <v>103.3166849345711</v>
      </c>
      <c r="C143" s="116">
        <v>96.148663256153313</v>
      </c>
      <c r="D143" s="116">
        <v>94.072032815906937</v>
      </c>
      <c r="E143" s="116">
        <v>94.891838962006759</v>
      </c>
      <c r="F143" s="116">
        <v>95.419360815459314</v>
      </c>
    </row>
    <row r="144" spans="1:6" x14ac:dyDescent="0.25">
      <c r="A144" s="252">
        <f t="shared" si="1"/>
        <v>128</v>
      </c>
      <c r="B144" s="116">
        <v>103.63773686374638</v>
      </c>
      <c r="C144" s="116">
        <v>98.652374046507603</v>
      </c>
      <c r="D144" s="116">
        <v>98.695849393965005</v>
      </c>
      <c r="E144" s="116">
        <v>97.173039656268969</v>
      </c>
      <c r="F144" s="116">
        <v>94.599185044723129</v>
      </c>
    </row>
    <row r="145" spans="1:6" x14ac:dyDescent="0.25">
      <c r="A145" s="252">
        <f t="shared" si="1"/>
        <v>129</v>
      </c>
      <c r="B145" s="116">
        <v>101.01623454623645</v>
      </c>
      <c r="C145" s="116">
        <v>99.087851188716627</v>
      </c>
      <c r="D145" s="116">
        <v>99.51591276016245</v>
      </c>
      <c r="E145" s="116">
        <v>94.209258885081852</v>
      </c>
      <c r="F145" s="116">
        <v>93.332974270007384</v>
      </c>
    </row>
    <row r="146" spans="1:6" x14ac:dyDescent="0.25">
      <c r="A146" s="252">
        <f t="shared" si="1"/>
        <v>130</v>
      </c>
      <c r="B146" s="116">
        <v>101.70001781678222</v>
      </c>
      <c r="C146" s="116">
        <v>99.207406181291745</v>
      </c>
      <c r="D146" s="116">
        <v>95.605107445773683</v>
      </c>
      <c r="E146" s="116">
        <v>96.346228126796888</v>
      </c>
      <c r="F146" s="116">
        <v>91.874855493436471</v>
      </c>
    </row>
    <row r="147" spans="1:6" x14ac:dyDescent="0.25">
      <c r="A147" s="252">
        <f t="shared" ref="A147:A210" si="2">+A146+1</f>
        <v>131</v>
      </c>
      <c r="B147" s="116">
        <v>101.65992973181503</v>
      </c>
      <c r="C147" s="116">
        <v>97.754513895453897</v>
      </c>
      <c r="D147" s="116">
        <v>97.18607723580287</v>
      </c>
      <c r="E147" s="116">
        <v>95.313562634521148</v>
      </c>
      <c r="F147" s="116">
        <v>91.380173592298618</v>
      </c>
    </row>
    <row r="148" spans="1:6" x14ac:dyDescent="0.25">
      <c r="A148" s="252">
        <f t="shared" si="2"/>
        <v>132</v>
      </c>
      <c r="B148" s="116">
        <v>102.8759265415008</v>
      </c>
      <c r="C148" s="116">
        <v>97.63794829950416</v>
      </c>
      <c r="D148" s="116">
        <v>95.302624649275998</v>
      </c>
      <c r="E148" s="116">
        <v>95.693151008230487</v>
      </c>
      <c r="F148" s="116">
        <v>92.225344509007428</v>
      </c>
    </row>
    <row r="149" spans="1:6" x14ac:dyDescent="0.25">
      <c r="A149" s="252">
        <f t="shared" si="2"/>
        <v>133</v>
      </c>
      <c r="B149" s="116">
        <v>100.30146748988049</v>
      </c>
      <c r="C149" s="116">
        <v>98.30359291238328</v>
      </c>
      <c r="D149" s="116">
        <v>96.919456847667007</v>
      </c>
      <c r="E149" s="116">
        <v>94.867905244940061</v>
      </c>
      <c r="F149" s="116">
        <v>94.098024789888242</v>
      </c>
    </row>
    <row r="150" spans="1:6" x14ac:dyDescent="0.25">
      <c r="A150" s="252">
        <f t="shared" si="2"/>
        <v>134</v>
      </c>
      <c r="B150" s="116">
        <v>103.52674261318155</v>
      </c>
      <c r="C150" s="116">
        <v>98.848133672155186</v>
      </c>
      <c r="D150" s="116">
        <v>97.964619397959794</v>
      </c>
      <c r="E150" s="116">
        <v>95.304211373196637</v>
      </c>
      <c r="F150" s="116">
        <v>92.857432332405438</v>
      </c>
    </row>
    <row r="151" spans="1:6" x14ac:dyDescent="0.25">
      <c r="A151" s="252">
        <f t="shared" si="2"/>
        <v>135</v>
      </c>
      <c r="B151" s="116">
        <v>99.642972294086562</v>
      </c>
      <c r="C151" s="116">
        <v>101.1435177602187</v>
      </c>
      <c r="D151" s="116">
        <v>97.384928379492536</v>
      </c>
      <c r="E151" s="116">
        <v>94.681567744607179</v>
      </c>
      <c r="F151" s="116">
        <v>92.142619207276567</v>
      </c>
    </row>
    <row r="152" spans="1:6" x14ac:dyDescent="0.25">
      <c r="A152" s="252">
        <f t="shared" si="2"/>
        <v>136</v>
      </c>
      <c r="B152" s="116">
        <v>101.18069412445453</v>
      </c>
      <c r="C152" s="116">
        <v>98.940459246210622</v>
      </c>
      <c r="D152" s="116">
        <v>97.584570236004865</v>
      </c>
      <c r="E152" s="116">
        <v>94.776459758575228</v>
      </c>
      <c r="F152" s="116">
        <v>92.772016631269594</v>
      </c>
    </row>
    <row r="153" spans="1:6" x14ac:dyDescent="0.25">
      <c r="A153" s="252">
        <f t="shared" si="2"/>
        <v>137</v>
      </c>
      <c r="B153" s="116">
        <v>105.24929238828042</v>
      </c>
      <c r="C153" s="116">
        <v>97.304627682296825</v>
      </c>
      <c r="D153" s="116">
        <v>93.535803884817398</v>
      </c>
      <c r="E153" s="116">
        <v>95.118371690101824</v>
      </c>
      <c r="F153" s="116">
        <v>93.809844844481759</v>
      </c>
    </row>
    <row r="154" spans="1:6" x14ac:dyDescent="0.25">
      <c r="A154" s="252">
        <f t="shared" si="2"/>
        <v>138</v>
      </c>
      <c r="B154" s="116">
        <v>100.91851108359526</v>
      </c>
      <c r="C154" s="116">
        <v>98.824411967057472</v>
      </c>
      <c r="D154" s="116">
        <v>96.149343891655121</v>
      </c>
      <c r="E154" s="116">
        <v>94.224565847726907</v>
      </c>
      <c r="F154" s="116">
        <v>93.049166658430778</v>
      </c>
    </row>
    <row r="155" spans="1:6" x14ac:dyDescent="0.25">
      <c r="A155" s="252">
        <f t="shared" si="2"/>
        <v>139</v>
      </c>
      <c r="B155" s="116">
        <v>103.37382239612309</v>
      </c>
      <c r="C155" s="116">
        <v>97.674075146247944</v>
      </c>
      <c r="D155" s="116">
        <v>96.619775924594848</v>
      </c>
      <c r="E155" s="116">
        <v>96.405932175735657</v>
      </c>
      <c r="F155" s="116">
        <v>92.816308886151063</v>
      </c>
    </row>
    <row r="156" spans="1:6" x14ac:dyDescent="0.25">
      <c r="A156" s="252">
        <f t="shared" si="2"/>
        <v>140</v>
      </c>
      <c r="B156" s="116">
        <v>100.59577296848026</v>
      </c>
      <c r="C156" s="116">
        <v>100.31850976621831</v>
      </c>
      <c r="D156" s="116">
        <v>96.897198224312248</v>
      </c>
      <c r="E156" s="116">
        <v>95.597832223303456</v>
      </c>
      <c r="F156" s="116">
        <v>93.967742372142283</v>
      </c>
    </row>
    <row r="157" spans="1:6" x14ac:dyDescent="0.25">
      <c r="A157" s="252">
        <f t="shared" si="2"/>
        <v>141</v>
      </c>
      <c r="B157" s="116">
        <v>101.75688032754914</v>
      </c>
      <c r="C157" s="116">
        <v>100.60425931926936</v>
      </c>
      <c r="D157" s="116">
        <v>97.444174968692835</v>
      </c>
      <c r="E157" s="116">
        <v>94.158357528485993</v>
      </c>
      <c r="F157" s="116">
        <v>93.721311208634134</v>
      </c>
    </row>
    <row r="158" spans="1:6" x14ac:dyDescent="0.25">
      <c r="A158" s="252">
        <f t="shared" si="2"/>
        <v>142</v>
      </c>
      <c r="B158" s="116">
        <v>101.36417834574242</v>
      </c>
      <c r="C158" s="116">
        <v>98.836666258287067</v>
      </c>
      <c r="D158" s="116">
        <v>97.288030993132253</v>
      </c>
      <c r="E158" s="116">
        <v>94.529131688645492</v>
      </c>
      <c r="F158" s="116">
        <v>94.326543027380666</v>
      </c>
    </row>
    <row r="159" spans="1:6" x14ac:dyDescent="0.25">
      <c r="A159" s="252">
        <f t="shared" si="2"/>
        <v>143</v>
      </c>
      <c r="B159" s="116">
        <v>104.20758286717863</v>
      </c>
      <c r="C159" s="116">
        <v>100.07085034819637</v>
      </c>
      <c r="D159" s="116">
        <v>95.83228393155197</v>
      </c>
      <c r="E159" s="116">
        <v>95.841083944484723</v>
      </c>
      <c r="F159" s="116">
        <v>93.457025115977245</v>
      </c>
    </row>
    <row r="160" spans="1:6" x14ac:dyDescent="0.25">
      <c r="A160" s="252">
        <f t="shared" si="2"/>
        <v>144</v>
      </c>
      <c r="B160" s="116">
        <v>101.31565187843165</v>
      </c>
      <c r="C160" s="116">
        <v>99.953840667326062</v>
      </c>
      <c r="D160" s="116">
        <v>97.397976880623162</v>
      </c>
      <c r="E160" s="116">
        <v>94.785307355551907</v>
      </c>
      <c r="F160" s="116">
        <v>91.71650356331044</v>
      </c>
    </row>
    <row r="161" spans="1:6" x14ac:dyDescent="0.25">
      <c r="A161" s="252">
        <f t="shared" si="2"/>
        <v>145</v>
      </c>
      <c r="B161" s="116">
        <v>102.63169788072229</v>
      </c>
      <c r="C161" s="116">
        <v>99.22723274224667</v>
      </c>
      <c r="D161" s="116">
        <v>97.276567030134203</v>
      </c>
      <c r="E161" s="116">
        <v>94.446308147994216</v>
      </c>
      <c r="F161" s="116">
        <v>92.49483562596366</v>
      </c>
    </row>
    <row r="162" spans="1:6" x14ac:dyDescent="0.25">
      <c r="A162" s="252">
        <f t="shared" si="2"/>
        <v>146</v>
      </c>
      <c r="B162" s="116">
        <v>103.06600078572384</v>
      </c>
      <c r="C162" s="116">
        <v>97.442571383786571</v>
      </c>
      <c r="D162" s="116">
        <v>94.250979433775242</v>
      </c>
      <c r="E162" s="116">
        <v>93.844759189250297</v>
      </c>
      <c r="F162" s="116">
        <v>95.827520172406949</v>
      </c>
    </row>
    <row r="163" spans="1:6" x14ac:dyDescent="0.25">
      <c r="A163" s="252">
        <f t="shared" si="2"/>
        <v>147</v>
      </c>
      <c r="B163" s="116">
        <v>100.36320296797315</v>
      </c>
      <c r="C163" s="116">
        <v>98.967744904350369</v>
      </c>
      <c r="D163" s="116">
        <v>97.596202139035853</v>
      </c>
      <c r="E163" s="116">
        <v>96.697199340630817</v>
      </c>
      <c r="F163" s="116">
        <v>94.699916527165058</v>
      </c>
    </row>
    <row r="164" spans="1:6" x14ac:dyDescent="0.25">
      <c r="A164" s="252">
        <f t="shared" si="2"/>
        <v>148</v>
      </c>
      <c r="B164" s="116">
        <v>98.36942040247196</v>
      </c>
      <c r="C164" s="116">
        <v>96.994368899461762</v>
      </c>
      <c r="D164" s="116">
        <v>94.961407991901865</v>
      </c>
      <c r="E164" s="116">
        <v>94.292528212315517</v>
      </c>
      <c r="F164" s="116">
        <v>92.528749725388948</v>
      </c>
    </row>
    <row r="165" spans="1:6" x14ac:dyDescent="0.25">
      <c r="A165" s="252">
        <f t="shared" si="2"/>
        <v>149</v>
      </c>
      <c r="B165" s="116">
        <v>102.52054383580469</v>
      </c>
      <c r="C165" s="116">
        <v>97.61204109319452</v>
      </c>
      <c r="D165" s="116">
        <v>94.649219564186055</v>
      </c>
      <c r="E165" s="116">
        <v>96.260617672251129</v>
      </c>
      <c r="F165" s="116">
        <v>93.276280256915925</v>
      </c>
    </row>
    <row r="166" spans="1:6" x14ac:dyDescent="0.25">
      <c r="A166" s="252">
        <f t="shared" si="2"/>
        <v>150</v>
      </c>
      <c r="B166" s="116">
        <v>104.02382504444803</v>
      </c>
      <c r="C166" s="116">
        <v>99.621946038934624</v>
      </c>
      <c r="D166" s="116">
        <v>98.881555282341054</v>
      </c>
      <c r="E166" s="116">
        <v>96.038779479631501</v>
      </c>
      <c r="F166" s="116">
        <v>93.678040334995273</v>
      </c>
    </row>
    <row r="167" spans="1:6" x14ac:dyDescent="0.25">
      <c r="A167" s="252">
        <f t="shared" si="2"/>
        <v>151</v>
      </c>
      <c r="B167" s="116">
        <v>100.59431513277109</v>
      </c>
      <c r="C167" s="116">
        <v>102.29375966202934</v>
      </c>
      <c r="D167" s="116">
        <v>98.396537306720816</v>
      </c>
      <c r="E167" s="116">
        <v>95.493024231024407</v>
      </c>
      <c r="F167" s="116">
        <v>94.388932188971168</v>
      </c>
    </row>
    <row r="168" spans="1:6" x14ac:dyDescent="0.25">
      <c r="A168" s="252">
        <f t="shared" si="2"/>
        <v>152</v>
      </c>
      <c r="B168" s="116">
        <v>103.22321462063417</v>
      </c>
      <c r="C168" s="116">
        <v>99.737856518291579</v>
      </c>
      <c r="D168" s="116">
        <v>98.789688622808214</v>
      </c>
      <c r="E168" s="116">
        <v>94.923037763348006</v>
      </c>
      <c r="F168" s="116">
        <v>93.019951716243966</v>
      </c>
    </row>
    <row r="169" spans="1:6" x14ac:dyDescent="0.25">
      <c r="A169" s="252">
        <f t="shared" si="2"/>
        <v>153</v>
      </c>
      <c r="B169" s="116">
        <v>100.05456052356747</v>
      </c>
      <c r="C169" s="116">
        <v>98.095099233247765</v>
      </c>
      <c r="D169" s="116">
        <v>96.190419100663547</v>
      </c>
      <c r="E169" s="116">
        <v>95.063204242569725</v>
      </c>
      <c r="F169" s="116">
        <v>92.005409246108044</v>
      </c>
    </row>
    <row r="170" spans="1:6" x14ac:dyDescent="0.25">
      <c r="A170" s="252">
        <f t="shared" si="2"/>
        <v>154</v>
      </c>
      <c r="B170" s="116">
        <v>103.48126029069414</v>
      </c>
      <c r="C170" s="116">
        <v>97.880776913035774</v>
      </c>
      <c r="D170" s="116">
        <v>96.746268348544234</v>
      </c>
      <c r="E170" s="116">
        <v>96.342710476594618</v>
      </c>
      <c r="F170" s="116">
        <v>92.857889048557183</v>
      </c>
    </row>
    <row r="171" spans="1:6" x14ac:dyDescent="0.25">
      <c r="A171" s="252">
        <f t="shared" si="2"/>
        <v>155</v>
      </c>
      <c r="B171" s="116">
        <v>102.59514376010442</v>
      </c>
      <c r="C171" s="116">
        <v>99.247128317716232</v>
      </c>
      <c r="D171" s="116">
        <v>96.751429103149533</v>
      </c>
      <c r="E171" s="116">
        <v>94.438254033154251</v>
      </c>
      <c r="F171" s="116">
        <v>93.403565063018149</v>
      </c>
    </row>
    <row r="172" spans="1:6" x14ac:dyDescent="0.25">
      <c r="A172" s="252">
        <f t="shared" si="2"/>
        <v>156</v>
      </c>
      <c r="B172" s="116">
        <v>96.989464315189096</v>
      </c>
      <c r="C172" s="116">
        <v>98.200282665848363</v>
      </c>
      <c r="D172" s="116">
        <v>95.933491493224324</v>
      </c>
      <c r="E172" s="116">
        <v>95.552160442914229</v>
      </c>
      <c r="F172" s="116">
        <v>92.326387511304119</v>
      </c>
    </row>
    <row r="173" spans="1:6" x14ac:dyDescent="0.25">
      <c r="A173" s="252">
        <f t="shared" si="2"/>
        <v>157</v>
      </c>
      <c r="B173" s="116">
        <v>101.98270740492498</v>
      </c>
      <c r="C173" s="116">
        <v>101.48508170811824</v>
      </c>
      <c r="D173" s="116">
        <v>95.62885093746425</v>
      </c>
      <c r="E173" s="116">
        <v>94.172194058059844</v>
      </c>
      <c r="F173" s="116">
        <v>92.268889658689673</v>
      </c>
    </row>
    <row r="174" spans="1:6" x14ac:dyDescent="0.25">
      <c r="A174" s="252">
        <f t="shared" si="2"/>
        <v>158</v>
      </c>
      <c r="B174" s="116">
        <v>101.26539162314796</v>
      </c>
      <c r="C174" s="116">
        <v>99.155935280589915</v>
      </c>
      <c r="D174" s="116">
        <v>96.142281990990725</v>
      </c>
      <c r="E174" s="116">
        <v>95.494418986577401</v>
      </c>
      <c r="F174" s="116">
        <v>92.371483216538607</v>
      </c>
    </row>
    <row r="175" spans="1:6" x14ac:dyDescent="0.25">
      <c r="A175" s="252">
        <f t="shared" si="2"/>
        <v>159</v>
      </c>
      <c r="B175" s="116">
        <v>102.50482022193118</v>
      </c>
      <c r="C175" s="116">
        <v>101.78998769256151</v>
      </c>
      <c r="D175" s="116">
        <v>95.384639275085618</v>
      </c>
      <c r="E175" s="116">
        <v>94.805161688383123</v>
      </c>
      <c r="F175" s="116">
        <v>95.794202942995398</v>
      </c>
    </row>
    <row r="176" spans="1:6" x14ac:dyDescent="0.25">
      <c r="A176" s="252">
        <f t="shared" si="2"/>
        <v>160</v>
      </c>
      <c r="B176" s="116">
        <v>103.95311941385413</v>
      </c>
      <c r="C176" s="116">
        <v>97.481144808619661</v>
      </c>
      <c r="D176" s="116">
        <v>96.584858364390669</v>
      </c>
      <c r="E176" s="116">
        <v>93.771433789465817</v>
      </c>
      <c r="F176" s="116">
        <v>93.855957610640445</v>
      </c>
    </row>
    <row r="177" spans="1:6" x14ac:dyDescent="0.25">
      <c r="A177" s="252">
        <f t="shared" si="2"/>
        <v>161</v>
      </c>
      <c r="B177" s="116">
        <v>101.36912193432298</v>
      </c>
      <c r="C177" s="116">
        <v>100.83423064044008</v>
      </c>
      <c r="D177" s="116">
        <v>96.574815248124992</v>
      </c>
      <c r="E177" s="116">
        <v>96.267873321970967</v>
      </c>
      <c r="F177" s="116">
        <v>93.048066417124787</v>
      </c>
    </row>
    <row r="178" spans="1:6" x14ac:dyDescent="0.25">
      <c r="A178" s="252">
        <f t="shared" si="2"/>
        <v>162</v>
      </c>
      <c r="B178" s="116">
        <v>104.85127483885877</v>
      </c>
      <c r="C178" s="116">
        <v>99.274854338461537</v>
      </c>
      <c r="D178" s="116">
        <v>96.125194265955599</v>
      </c>
      <c r="E178" s="116">
        <v>94.640464231248586</v>
      </c>
      <c r="F178" s="116">
        <v>92.457309943939151</v>
      </c>
    </row>
    <row r="179" spans="1:6" x14ac:dyDescent="0.25">
      <c r="A179" s="252">
        <f t="shared" si="2"/>
        <v>163</v>
      </c>
      <c r="B179" s="116">
        <v>98.862694304903386</v>
      </c>
      <c r="C179" s="116">
        <v>97.127570860498665</v>
      </c>
      <c r="D179" s="116">
        <v>97.706576239814282</v>
      </c>
      <c r="E179" s="116">
        <v>96.6099319613066</v>
      </c>
      <c r="F179" s="116">
        <v>92.186168249556872</v>
      </c>
    </row>
    <row r="180" spans="1:6" x14ac:dyDescent="0.25">
      <c r="A180" s="252">
        <f t="shared" si="2"/>
        <v>164</v>
      </c>
      <c r="B180" s="116">
        <v>101.96296757767493</v>
      </c>
      <c r="C180" s="116">
        <v>98.742222761241294</v>
      </c>
      <c r="D180" s="116">
        <v>98.233847970280166</v>
      </c>
      <c r="E180" s="116">
        <v>96.121034817292781</v>
      </c>
      <c r="F180" s="116">
        <v>92.314582185430197</v>
      </c>
    </row>
    <row r="181" spans="1:6" x14ac:dyDescent="0.25">
      <c r="A181" s="252">
        <f t="shared" si="2"/>
        <v>165</v>
      </c>
      <c r="B181" s="116">
        <v>102.83468142689723</v>
      </c>
      <c r="C181" s="116">
        <v>98.863360461730736</v>
      </c>
      <c r="D181" s="116">
        <v>96.853804845890878</v>
      </c>
      <c r="E181" s="116">
        <v>94.754779200714793</v>
      </c>
      <c r="F181" s="116">
        <v>93.60544034289623</v>
      </c>
    </row>
    <row r="182" spans="1:6" x14ac:dyDescent="0.25">
      <c r="A182" s="252">
        <f t="shared" si="2"/>
        <v>166</v>
      </c>
      <c r="B182" s="116">
        <v>101.23077670479726</v>
      </c>
      <c r="C182" s="116">
        <v>96.873795957537936</v>
      </c>
      <c r="D182" s="116">
        <v>98.094987477985725</v>
      </c>
      <c r="E182" s="116">
        <v>93.926195384951015</v>
      </c>
      <c r="F182" s="116">
        <v>91.528931712160329</v>
      </c>
    </row>
    <row r="183" spans="1:6" x14ac:dyDescent="0.25">
      <c r="A183" s="252">
        <f t="shared" si="2"/>
        <v>167</v>
      </c>
      <c r="B183" s="116">
        <v>106.34669552430347</v>
      </c>
      <c r="C183" s="116">
        <v>97.473870833990773</v>
      </c>
      <c r="D183" s="116">
        <v>95.688023989495449</v>
      </c>
      <c r="E183" s="116">
        <v>95.32673926927373</v>
      </c>
      <c r="F183" s="116">
        <v>93.416274376770986</v>
      </c>
    </row>
    <row r="184" spans="1:6" x14ac:dyDescent="0.25">
      <c r="A184" s="252">
        <f t="shared" si="2"/>
        <v>168</v>
      </c>
      <c r="B184" s="116">
        <v>102.26527039367525</v>
      </c>
      <c r="C184" s="116">
        <v>99.581956820613343</v>
      </c>
      <c r="D184" s="116">
        <v>97.216708535961601</v>
      </c>
      <c r="E184" s="116">
        <v>94.676924075875476</v>
      </c>
      <c r="F184" s="116">
        <v>95.393798345763557</v>
      </c>
    </row>
    <row r="185" spans="1:6" x14ac:dyDescent="0.25">
      <c r="A185" s="252">
        <f t="shared" si="2"/>
        <v>169</v>
      </c>
      <c r="B185" s="116">
        <v>99.49569171788464</v>
      </c>
      <c r="C185" s="116">
        <v>98.590006021089494</v>
      </c>
      <c r="D185" s="116">
        <v>94.573914873428592</v>
      </c>
      <c r="E185" s="116">
        <v>94.132230877085817</v>
      </c>
      <c r="F185" s="116">
        <v>94.509597909463523</v>
      </c>
    </row>
    <row r="186" spans="1:6" x14ac:dyDescent="0.25">
      <c r="A186" s="252">
        <f t="shared" si="2"/>
        <v>170</v>
      </c>
      <c r="B186" s="116">
        <v>103.29984908988853</v>
      </c>
      <c r="C186" s="116">
        <v>99.965197442626291</v>
      </c>
      <c r="D186" s="116">
        <v>97.683739921269563</v>
      </c>
      <c r="E186" s="116">
        <v>94.552788276065357</v>
      </c>
      <c r="F186" s="116">
        <v>91.834064290349843</v>
      </c>
    </row>
    <row r="187" spans="1:6" x14ac:dyDescent="0.25">
      <c r="A187" s="252">
        <f t="shared" si="2"/>
        <v>171</v>
      </c>
      <c r="B187" s="116">
        <v>102.10329794917649</v>
      </c>
      <c r="C187" s="116">
        <v>99.707183758288693</v>
      </c>
      <c r="D187" s="116">
        <v>96.741625676610042</v>
      </c>
      <c r="E187" s="116">
        <v>94.072822907791391</v>
      </c>
      <c r="F187" s="116">
        <v>93.183727605851772</v>
      </c>
    </row>
    <row r="188" spans="1:6" x14ac:dyDescent="0.25">
      <c r="A188" s="252">
        <f t="shared" si="2"/>
        <v>172</v>
      </c>
      <c r="B188" s="116">
        <v>107.42637643824074</v>
      </c>
      <c r="C188" s="116">
        <v>99.349068180250939</v>
      </c>
      <c r="D188" s="116">
        <v>97.13134198835796</v>
      </c>
      <c r="E188" s="116">
        <v>96.249680174982259</v>
      </c>
      <c r="F188" s="116">
        <v>93.653580965648587</v>
      </c>
    </row>
    <row r="189" spans="1:6" x14ac:dyDescent="0.25">
      <c r="A189" s="252">
        <f t="shared" si="2"/>
        <v>173</v>
      </c>
      <c r="B189" s="116">
        <v>102.11618767476986</v>
      </c>
      <c r="C189" s="116">
        <v>100.88506376753557</v>
      </c>
      <c r="D189" s="116">
        <v>98.872083024919263</v>
      </c>
      <c r="E189" s="116">
        <v>94.401544411258158</v>
      </c>
      <c r="F189" s="116">
        <v>91.403077112844386</v>
      </c>
    </row>
    <row r="190" spans="1:6" x14ac:dyDescent="0.25">
      <c r="A190" s="252">
        <f t="shared" si="2"/>
        <v>174</v>
      </c>
      <c r="B190" s="116">
        <v>102.0479923020381</v>
      </c>
      <c r="C190" s="116">
        <v>99.114468565614729</v>
      </c>
      <c r="D190" s="116">
        <v>95.980707150838072</v>
      </c>
      <c r="E190" s="116">
        <v>93.849046264531225</v>
      </c>
      <c r="F190" s="116">
        <v>93.858955794462531</v>
      </c>
    </row>
    <row r="191" spans="1:6" x14ac:dyDescent="0.25">
      <c r="A191" s="252">
        <f t="shared" si="2"/>
        <v>175</v>
      </c>
      <c r="B191" s="116">
        <v>99.176253341718564</v>
      </c>
      <c r="C191" s="116">
        <v>96.91283382077971</v>
      </c>
      <c r="D191" s="116">
        <v>95.233260635724392</v>
      </c>
      <c r="E191" s="116">
        <v>96.037547802078635</v>
      </c>
      <c r="F191" s="116">
        <v>94.892914336127347</v>
      </c>
    </row>
    <row r="192" spans="1:6" x14ac:dyDescent="0.25">
      <c r="A192" s="252">
        <f t="shared" si="2"/>
        <v>176</v>
      </c>
      <c r="B192" s="116">
        <v>102.82028483925176</v>
      </c>
      <c r="C192" s="116">
        <v>98.581322982783092</v>
      </c>
      <c r="D192" s="116">
        <v>95.417215916764675</v>
      </c>
      <c r="E192" s="116">
        <v>94.799000965754203</v>
      </c>
      <c r="F192" s="116">
        <v>92.318036610011134</v>
      </c>
    </row>
    <row r="193" spans="1:6" x14ac:dyDescent="0.25">
      <c r="A193" s="252">
        <f t="shared" si="2"/>
        <v>177</v>
      </c>
      <c r="B193" s="116">
        <v>99.145178572555537</v>
      </c>
      <c r="C193" s="116">
        <v>98.142327848117787</v>
      </c>
      <c r="D193" s="116">
        <v>94.91754400255239</v>
      </c>
      <c r="E193" s="116">
        <v>94.660215368264701</v>
      </c>
      <c r="F193" s="116">
        <v>92.604771631829792</v>
      </c>
    </row>
    <row r="194" spans="1:6" x14ac:dyDescent="0.25">
      <c r="A194" s="252">
        <f t="shared" si="2"/>
        <v>178</v>
      </c>
      <c r="B194" s="116">
        <v>103.71100452508436</v>
      </c>
      <c r="C194" s="116">
        <v>100.35726193996739</v>
      </c>
      <c r="D194" s="116">
        <v>96.789317178836569</v>
      </c>
      <c r="E194" s="116">
        <v>94.992720897956573</v>
      </c>
      <c r="F194" s="116">
        <v>90.071237145158889</v>
      </c>
    </row>
    <row r="195" spans="1:6" x14ac:dyDescent="0.25">
      <c r="A195" s="252">
        <f t="shared" si="2"/>
        <v>179</v>
      </c>
      <c r="B195" s="116">
        <v>99.789391226353672</v>
      </c>
      <c r="C195" s="116">
        <v>102.32318315852133</v>
      </c>
      <c r="D195" s="116">
        <v>99.010807766688146</v>
      </c>
      <c r="E195" s="116">
        <v>94.343946179683925</v>
      </c>
      <c r="F195" s="116">
        <v>94.049165308997203</v>
      </c>
    </row>
    <row r="196" spans="1:6" x14ac:dyDescent="0.25">
      <c r="A196" s="252">
        <f t="shared" si="2"/>
        <v>180</v>
      </c>
      <c r="B196" s="116">
        <v>102.2906168819388</v>
      </c>
      <c r="C196" s="116">
        <v>100.89776615417698</v>
      </c>
      <c r="D196" s="116">
        <v>96.028125313442104</v>
      </c>
      <c r="E196" s="116">
        <v>96.175204525539229</v>
      </c>
      <c r="F196" s="116">
        <v>94.250949729192158</v>
      </c>
    </row>
    <row r="197" spans="1:6" x14ac:dyDescent="0.25">
      <c r="A197" s="252">
        <f t="shared" si="2"/>
        <v>181</v>
      </c>
      <c r="B197" s="116">
        <v>102.05296220982866</v>
      </c>
      <c r="C197" s="116">
        <v>98.113360742155066</v>
      </c>
      <c r="D197" s="116">
        <v>95.418337928450981</v>
      </c>
      <c r="E197" s="116">
        <v>95.127743093822403</v>
      </c>
      <c r="F197" s="116">
        <v>91.564065077720642</v>
      </c>
    </row>
    <row r="198" spans="1:6" x14ac:dyDescent="0.25">
      <c r="A198" s="252">
        <f t="shared" si="2"/>
        <v>182</v>
      </c>
      <c r="B198" s="116">
        <v>99.63178130082666</v>
      </c>
      <c r="C198" s="116">
        <v>99.27895504850396</v>
      </c>
      <c r="D198" s="116">
        <v>96.848314525859408</v>
      </c>
      <c r="E198" s="116">
        <v>94.595535769966233</v>
      </c>
      <c r="F198" s="116">
        <v>93.796210334326943</v>
      </c>
    </row>
    <row r="199" spans="1:6" x14ac:dyDescent="0.25">
      <c r="A199" s="252">
        <f t="shared" si="2"/>
        <v>183</v>
      </c>
      <c r="B199" s="116">
        <v>103.65182324419861</v>
      </c>
      <c r="C199" s="116">
        <v>97.526319176550572</v>
      </c>
      <c r="D199" s="116">
        <v>98.038989960018696</v>
      </c>
      <c r="E199" s="116">
        <v>94.326153656633238</v>
      </c>
      <c r="F199" s="116">
        <v>92.657394300693724</v>
      </c>
    </row>
    <row r="200" spans="1:6" x14ac:dyDescent="0.25">
      <c r="A200" s="252">
        <f t="shared" si="2"/>
        <v>184</v>
      </c>
      <c r="B200" s="116">
        <v>102.00720837496546</v>
      </c>
      <c r="C200" s="116">
        <v>100.07813558805479</v>
      </c>
      <c r="D200" s="116">
        <v>95.724325252381448</v>
      </c>
      <c r="E200" s="116">
        <v>93.849326906221165</v>
      </c>
      <c r="F200" s="116">
        <v>91.919156871443448</v>
      </c>
    </row>
    <row r="201" spans="1:6" x14ac:dyDescent="0.25">
      <c r="A201" s="252">
        <f t="shared" si="2"/>
        <v>185</v>
      </c>
      <c r="B201" s="116">
        <v>100.50526442218832</v>
      </c>
      <c r="C201" s="116">
        <v>95.815698278050832</v>
      </c>
      <c r="D201" s="116">
        <v>96.008832437115601</v>
      </c>
      <c r="E201" s="116">
        <v>92.409341937413217</v>
      </c>
      <c r="F201" s="116">
        <v>92.217888885424586</v>
      </c>
    </row>
    <row r="202" spans="1:6" x14ac:dyDescent="0.25">
      <c r="A202" s="252">
        <f t="shared" si="2"/>
        <v>186</v>
      </c>
      <c r="B202" s="116">
        <v>100.44020627254302</v>
      </c>
      <c r="C202" s="116">
        <v>98.547592483986847</v>
      </c>
      <c r="D202" s="116">
        <v>97.797430370594</v>
      </c>
      <c r="E202" s="116">
        <v>93.156142627983797</v>
      </c>
      <c r="F202" s="116">
        <v>92.35104319042118</v>
      </c>
    </row>
    <row r="203" spans="1:6" x14ac:dyDescent="0.25">
      <c r="A203" s="252">
        <f t="shared" si="2"/>
        <v>187</v>
      </c>
      <c r="B203" s="116">
        <v>101.01514385930678</v>
      </c>
      <c r="C203" s="116">
        <v>98.059159253393034</v>
      </c>
      <c r="D203" s="116">
        <v>97.735915364650921</v>
      </c>
      <c r="E203" s="116">
        <v>93.95464422832238</v>
      </c>
      <c r="F203" s="116">
        <v>92.063282121498219</v>
      </c>
    </row>
    <row r="204" spans="1:6" x14ac:dyDescent="0.25">
      <c r="A204" s="252">
        <f t="shared" si="2"/>
        <v>188</v>
      </c>
      <c r="B204" s="116">
        <v>103.30301182809239</v>
      </c>
      <c r="C204" s="116">
        <v>101.13968596420233</v>
      </c>
      <c r="D204" s="116">
        <v>96.147768475943224</v>
      </c>
      <c r="E204" s="116">
        <v>93.022472001117592</v>
      </c>
      <c r="F204" s="116">
        <v>94.149586771586286</v>
      </c>
    </row>
    <row r="205" spans="1:6" x14ac:dyDescent="0.25">
      <c r="A205" s="252">
        <f t="shared" si="2"/>
        <v>189</v>
      </c>
      <c r="B205" s="116">
        <v>98.185494772374057</v>
      </c>
      <c r="C205" s="116">
        <v>99.28799582530803</v>
      </c>
      <c r="D205" s="116">
        <v>99.87233653333152</v>
      </c>
      <c r="E205" s="116">
        <v>95.853607419245506</v>
      </c>
      <c r="F205" s="116">
        <v>93.171020513699787</v>
      </c>
    </row>
    <row r="206" spans="1:6" x14ac:dyDescent="0.25">
      <c r="A206" s="252">
        <f t="shared" si="2"/>
        <v>190</v>
      </c>
      <c r="B206" s="116">
        <v>103.76909948241119</v>
      </c>
      <c r="C206" s="116">
        <v>99.602308740017762</v>
      </c>
      <c r="D206" s="116">
        <v>96.904617250679152</v>
      </c>
      <c r="E206" s="116">
        <v>94.216243121469219</v>
      </c>
      <c r="F206" s="116">
        <v>93.915829728577677</v>
      </c>
    </row>
    <row r="207" spans="1:6" x14ac:dyDescent="0.25">
      <c r="A207" s="252">
        <f t="shared" si="2"/>
        <v>191</v>
      </c>
      <c r="B207" s="116">
        <v>101.07511608856029</v>
      </c>
      <c r="C207" s="116">
        <v>100.60303973067134</v>
      </c>
      <c r="D207" s="116">
        <v>96.537007070754129</v>
      </c>
      <c r="E207" s="116">
        <v>96.445563027637363</v>
      </c>
      <c r="F207" s="116">
        <v>94.276939567849638</v>
      </c>
    </row>
    <row r="208" spans="1:6" x14ac:dyDescent="0.25">
      <c r="A208" s="252">
        <f t="shared" si="2"/>
        <v>192</v>
      </c>
      <c r="B208" s="116">
        <v>99.834370164458861</v>
      </c>
      <c r="C208" s="116">
        <v>98.089734282945301</v>
      </c>
      <c r="D208" s="116">
        <v>95.816407329310664</v>
      </c>
      <c r="E208" s="116">
        <v>95.313418780032208</v>
      </c>
      <c r="F208" s="116">
        <v>92.255070519623757</v>
      </c>
    </row>
    <row r="209" spans="1:6" x14ac:dyDescent="0.25">
      <c r="A209" s="252">
        <f t="shared" si="2"/>
        <v>193</v>
      </c>
      <c r="B209" s="116">
        <v>102.32719110421432</v>
      </c>
      <c r="C209" s="116">
        <v>100.66732010055966</v>
      </c>
      <c r="D209" s="116">
        <v>98.43485337616238</v>
      </c>
      <c r="E209" s="116">
        <v>96.520151067444743</v>
      </c>
      <c r="F209" s="116">
        <v>93.098471893069117</v>
      </c>
    </row>
    <row r="210" spans="1:6" x14ac:dyDescent="0.25">
      <c r="A210" s="252">
        <f t="shared" si="2"/>
        <v>194</v>
      </c>
      <c r="B210" s="116">
        <v>101.87881603590698</v>
      </c>
      <c r="C210" s="116">
        <v>97.55256871560448</v>
      </c>
      <c r="D210" s="116">
        <v>97.984756441662569</v>
      </c>
      <c r="E210" s="116">
        <v>95.568344578340572</v>
      </c>
      <c r="F210" s="116">
        <v>92.110690053976313</v>
      </c>
    </row>
    <row r="211" spans="1:6" x14ac:dyDescent="0.25">
      <c r="A211" s="252">
        <f t="shared" ref="A211:A274" si="3">+A210+1</f>
        <v>195</v>
      </c>
      <c r="B211" s="116">
        <v>101.89030116690587</v>
      </c>
      <c r="C211" s="116">
        <v>97.982388582758176</v>
      </c>
      <c r="D211" s="116">
        <v>98.151374547978946</v>
      </c>
      <c r="E211" s="116">
        <v>95.298264147931647</v>
      </c>
      <c r="F211" s="116">
        <v>92.692738482622318</v>
      </c>
    </row>
    <row r="212" spans="1:6" x14ac:dyDescent="0.25">
      <c r="A212" s="252">
        <f t="shared" si="3"/>
        <v>196</v>
      </c>
      <c r="B212" s="116">
        <v>102.3004897177961</v>
      </c>
      <c r="C212" s="116">
        <v>97.690258504653059</v>
      </c>
      <c r="D212" s="116">
        <v>97.128669669670813</v>
      </c>
      <c r="E212" s="116">
        <v>96.5128854060614</v>
      </c>
      <c r="F212" s="116">
        <v>92.536927375337555</v>
      </c>
    </row>
    <row r="213" spans="1:6" x14ac:dyDescent="0.25">
      <c r="A213" s="252">
        <f t="shared" si="3"/>
        <v>197</v>
      </c>
      <c r="B213" s="116">
        <v>98.408068764797974</v>
      </c>
      <c r="C213" s="116">
        <v>96.509656528033403</v>
      </c>
      <c r="D213" s="116">
        <v>94.561589248793581</v>
      </c>
      <c r="E213" s="116">
        <v>95.199728254006928</v>
      </c>
      <c r="F213" s="116">
        <v>92.519844870285482</v>
      </c>
    </row>
    <row r="214" spans="1:6" x14ac:dyDescent="0.25">
      <c r="A214" s="252">
        <f t="shared" si="3"/>
        <v>198</v>
      </c>
      <c r="B214" s="116">
        <v>106.01428108357781</v>
      </c>
      <c r="C214" s="116">
        <v>100.72536761182994</v>
      </c>
      <c r="D214" s="116">
        <v>97.979118555922255</v>
      </c>
      <c r="E214" s="116">
        <v>96.953997565410873</v>
      </c>
      <c r="F214" s="116">
        <v>92.678425139614475</v>
      </c>
    </row>
    <row r="215" spans="1:6" x14ac:dyDescent="0.25">
      <c r="A215" s="252">
        <f t="shared" si="3"/>
        <v>199</v>
      </c>
      <c r="B215" s="116">
        <v>98.26805961476137</v>
      </c>
      <c r="C215" s="116">
        <v>97.967183620774179</v>
      </c>
      <c r="D215" s="116">
        <v>99.178783946356234</v>
      </c>
      <c r="E215" s="116">
        <v>94.742137161998286</v>
      </c>
      <c r="F215" s="116">
        <v>94.393681189275938</v>
      </c>
    </row>
    <row r="216" spans="1:6" x14ac:dyDescent="0.25">
      <c r="A216" s="252">
        <f t="shared" si="3"/>
        <v>200</v>
      </c>
      <c r="B216" s="116">
        <v>104.84966547347025</v>
      </c>
      <c r="C216" s="116">
        <v>99.431306678334977</v>
      </c>
      <c r="D216" s="116">
        <v>96.90179321299334</v>
      </c>
      <c r="E216" s="116">
        <v>95.443688905067603</v>
      </c>
      <c r="F216" s="116">
        <v>91.141389432380109</v>
      </c>
    </row>
    <row r="217" spans="1:6" x14ac:dyDescent="0.25">
      <c r="A217" s="252">
        <f t="shared" si="3"/>
        <v>201</v>
      </c>
      <c r="B217" s="116">
        <v>104.42297053683804</v>
      </c>
      <c r="C217" s="116">
        <v>98.88253806570755</v>
      </c>
      <c r="D217" s="116">
        <v>98.051774814859456</v>
      </c>
      <c r="E217" s="116">
        <v>94.669502185293496</v>
      </c>
      <c r="F217" s="116">
        <v>92.296513462031683</v>
      </c>
    </row>
    <row r="218" spans="1:6" x14ac:dyDescent="0.25">
      <c r="A218" s="252">
        <f t="shared" si="3"/>
        <v>202</v>
      </c>
      <c r="B218" s="116">
        <v>103.26090954244378</v>
      </c>
      <c r="C218" s="116">
        <v>97.764796971523168</v>
      </c>
      <c r="D218" s="116">
        <v>100.81634619201327</v>
      </c>
      <c r="E218" s="116">
        <v>94.758791646237583</v>
      </c>
      <c r="F218" s="116">
        <v>92.427881039400788</v>
      </c>
    </row>
    <row r="219" spans="1:6" x14ac:dyDescent="0.25">
      <c r="A219" s="252">
        <f t="shared" si="3"/>
        <v>203</v>
      </c>
      <c r="B219" s="116">
        <v>99.501150613658382</v>
      </c>
      <c r="C219" s="116">
        <v>98.494591711594353</v>
      </c>
      <c r="D219" s="116">
        <v>96.119350803677676</v>
      </c>
      <c r="E219" s="116">
        <v>93.862260207104129</v>
      </c>
      <c r="F219" s="116">
        <v>94.896041086127383</v>
      </c>
    </row>
    <row r="220" spans="1:6" x14ac:dyDescent="0.25">
      <c r="A220" s="252">
        <f t="shared" si="3"/>
        <v>204</v>
      </c>
      <c r="B220" s="116">
        <v>102.62711052613697</v>
      </c>
      <c r="C220" s="116">
        <v>101.23267256246218</v>
      </c>
      <c r="D220" s="116">
        <v>94.663153962145969</v>
      </c>
      <c r="E220" s="116">
        <v>94.726067706519089</v>
      </c>
      <c r="F220" s="116">
        <v>93.473661135416478</v>
      </c>
    </row>
    <row r="221" spans="1:6" x14ac:dyDescent="0.25">
      <c r="A221" s="252">
        <f t="shared" si="3"/>
        <v>205</v>
      </c>
      <c r="B221" s="116">
        <v>103.33175125052836</v>
      </c>
      <c r="C221" s="116">
        <v>98.621100946418068</v>
      </c>
      <c r="D221" s="116">
        <v>96.64860851104477</v>
      </c>
      <c r="E221" s="116">
        <v>96.4727483913599</v>
      </c>
      <c r="F221" s="116">
        <v>92.870958466919973</v>
      </c>
    </row>
    <row r="222" spans="1:6" x14ac:dyDescent="0.25">
      <c r="A222" s="252">
        <f t="shared" si="3"/>
        <v>206</v>
      </c>
      <c r="B222" s="116">
        <v>99.880375294585832</v>
      </c>
      <c r="C222" s="116">
        <v>98.816146582787425</v>
      </c>
      <c r="D222" s="116">
        <v>94.912081093724268</v>
      </c>
      <c r="E222" s="116">
        <v>94.221546900431804</v>
      </c>
      <c r="F222" s="116">
        <v>92.264072107368747</v>
      </c>
    </row>
    <row r="223" spans="1:6" x14ac:dyDescent="0.25">
      <c r="A223" s="252">
        <f t="shared" si="3"/>
        <v>207</v>
      </c>
      <c r="B223" s="116">
        <v>100.37261592192742</v>
      </c>
      <c r="C223" s="116">
        <v>99.399702642735633</v>
      </c>
      <c r="D223" s="116">
        <v>99.245861080913357</v>
      </c>
      <c r="E223" s="116">
        <v>93.935347071532121</v>
      </c>
      <c r="F223" s="116">
        <v>92.513972668270966</v>
      </c>
    </row>
    <row r="224" spans="1:6" x14ac:dyDescent="0.25">
      <c r="A224" s="252">
        <f t="shared" si="3"/>
        <v>208</v>
      </c>
      <c r="B224" s="116">
        <v>102.19266429361679</v>
      </c>
      <c r="C224" s="116">
        <v>98.288355542679724</v>
      </c>
      <c r="D224" s="116">
        <v>95.480903766712331</v>
      </c>
      <c r="E224" s="116">
        <v>94.845100588391048</v>
      </c>
      <c r="F224" s="116">
        <v>92.66889980205282</v>
      </c>
    </row>
    <row r="225" spans="1:6" x14ac:dyDescent="0.25">
      <c r="A225" s="252">
        <f t="shared" si="3"/>
        <v>209</v>
      </c>
      <c r="B225" s="116">
        <v>101.61008032587918</v>
      </c>
      <c r="C225" s="116">
        <v>99.299959511567835</v>
      </c>
      <c r="D225" s="116">
        <v>99.146233236667214</v>
      </c>
      <c r="E225" s="116">
        <v>94.743403795479523</v>
      </c>
      <c r="F225" s="116">
        <v>93.222112324828444</v>
      </c>
    </row>
    <row r="226" spans="1:6" x14ac:dyDescent="0.25">
      <c r="A226" s="252">
        <f t="shared" si="3"/>
        <v>210</v>
      </c>
      <c r="B226" s="116">
        <v>101.88394206942341</v>
      </c>
      <c r="C226" s="116">
        <v>99.646118704069707</v>
      </c>
      <c r="D226" s="116">
        <v>96.72002863011862</v>
      </c>
      <c r="E226" s="116">
        <v>94.364512574804664</v>
      </c>
      <c r="F226" s="116">
        <v>93.112689154334433</v>
      </c>
    </row>
    <row r="227" spans="1:6" x14ac:dyDescent="0.25">
      <c r="A227" s="252">
        <f t="shared" si="3"/>
        <v>211</v>
      </c>
      <c r="B227" s="116">
        <v>102.47380044371312</v>
      </c>
      <c r="C227" s="116">
        <v>99.621049012487532</v>
      </c>
      <c r="D227" s="116">
        <v>96.160730360382161</v>
      </c>
      <c r="E227" s="116">
        <v>96.121714717692342</v>
      </c>
      <c r="F227" s="116">
        <v>92.966739343945562</v>
      </c>
    </row>
    <row r="228" spans="1:6" x14ac:dyDescent="0.25">
      <c r="A228" s="252">
        <f t="shared" si="3"/>
        <v>212</v>
      </c>
      <c r="B228" s="116">
        <v>109.40153945778074</v>
      </c>
      <c r="C228" s="116">
        <v>100.44684998304972</v>
      </c>
      <c r="D228" s="116">
        <v>97.182415352447052</v>
      </c>
      <c r="E228" s="116">
        <v>96.088768123757461</v>
      </c>
      <c r="F228" s="116">
        <v>93.475995238801985</v>
      </c>
    </row>
    <row r="229" spans="1:6" x14ac:dyDescent="0.25">
      <c r="A229" s="252">
        <f t="shared" si="3"/>
        <v>213</v>
      </c>
      <c r="B229" s="116">
        <v>99.434912787853804</v>
      </c>
      <c r="C229" s="116">
        <v>96.075581359295072</v>
      </c>
      <c r="D229" s="116">
        <v>97.245213240056586</v>
      </c>
      <c r="E229" s="116">
        <v>95.461060327843057</v>
      </c>
      <c r="F229" s="116">
        <v>91.489974004225644</v>
      </c>
    </row>
    <row r="230" spans="1:6" x14ac:dyDescent="0.25">
      <c r="A230" s="252">
        <f t="shared" si="3"/>
        <v>214</v>
      </c>
      <c r="B230" s="116">
        <v>103.21120927228722</v>
      </c>
      <c r="C230" s="116">
        <v>99.25984643215611</v>
      </c>
      <c r="D230" s="116">
        <v>96.349703960827924</v>
      </c>
      <c r="E230" s="116">
        <v>96.098066176727798</v>
      </c>
      <c r="F230" s="116">
        <v>94.248575624973455</v>
      </c>
    </row>
    <row r="231" spans="1:6" x14ac:dyDescent="0.25">
      <c r="A231" s="252">
        <f t="shared" si="3"/>
        <v>215</v>
      </c>
      <c r="B231" s="116">
        <v>104.99902090537944</v>
      </c>
      <c r="C231" s="116">
        <v>97.91554944468561</v>
      </c>
      <c r="D231" s="116">
        <v>94.872658312282908</v>
      </c>
      <c r="E231" s="116">
        <v>95.185953211268199</v>
      </c>
      <c r="F231" s="116">
        <v>93.081199101916411</v>
      </c>
    </row>
    <row r="232" spans="1:6" x14ac:dyDescent="0.25">
      <c r="A232" s="252">
        <f t="shared" si="3"/>
        <v>216</v>
      </c>
      <c r="B232" s="116">
        <v>100.22610345587573</v>
      </c>
      <c r="C232" s="116">
        <v>99.929173252113685</v>
      </c>
      <c r="D232" s="116">
        <v>98.209116525890124</v>
      </c>
      <c r="E232" s="116">
        <v>95.051688547872459</v>
      </c>
      <c r="F232" s="116">
        <v>92.204865093483988</v>
      </c>
    </row>
    <row r="233" spans="1:6" x14ac:dyDescent="0.25">
      <c r="A233" s="252">
        <f t="shared" si="3"/>
        <v>217</v>
      </c>
      <c r="B233" s="116">
        <v>99.335018235979149</v>
      </c>
      <c r="C233" s="116">
        <v>98.254556189034986</v>
      </c>
      <c r="D233" s="116">
        <v>94.933980032078907</v>
      </c>
      <c r="E233" s="116">
        <v>95.022114612790858</v>
      </c>
      <c r="F233" s="116">
        <v>92.842088831254429</v>
      </c>
    </row>
    <row r="234" spans="1:6" x14ac:dyDescent="0.25">
      <c r="A234" s="252">
        <f t="shared" si="3"/>
        <v>218</v>
      </c>
      <c r="B234" s="116">
        <v>104.51214650847059</v>
      </c>
      <c r="C234" s="116">
        <v>97.077506412733698</v>
      </c>
      <c r="D234" s="116">
        <v>97.440003365658171</v>
      </c>
      <c r="E234" s="116">
        <v>94.783776289444191</v>
      </c>
      <c r="F234" s="116">
        <v>93.496117028905815</v>
      </c>
    </row>
    <row r="235" spans="1:6" x14ac:dyDescent="0.25">
      <c r="A235" s="252">
        <f t="shared" si="3"/>
        <v>219</v>
      </c>
      <c r="B235" s="116">
        <v>105.5888188124033</v>
      </c>
      <c r="C235" s="116">
        <v>98.017648954511998</v>
      </c>
      <c r="D235" s="116">
        <v>95.957930899165888</v>
      </c>
      <c r="E235" s="116">
        <v>94.988975448085995</v>
      </c>
      <c r="F235" s="116">
        <v>93.773716249384975</v>
      </c>
    </row>
    <row r="236" spans="1:6" x14ac:dyDescent="0.25">
      <c r="A236" s="252">
        <f t="shared" si="3"/>
        <v>220</v>
      </c>
      <c r="B236" s="116">
        <v>100.10025930994449</v>
      </c>
      <c r="C236" s="116">
        <v>99.889252089057166</v>
      </c>
      <c r="D236" s="116">
        <v>95.48616925702963</v>
      </c>
      <c r="E236" s="116">
        <v>95.520289659495731</v>
      </c>
      <c r="F236" s="116">
        <v>92.017340460044736</v>
      </c>
    </row>
    <row r="237" spans="1:6" x14ac:dyDescent="0.25">
      <c r="A237" s="252">
        <f t="shared" si="3"/>
        <v>221</v>
      </c>
      <c r="B237" s="116">
        <v>102.04603958241876</v>
      </c>
      <c r="C237" s="116">
        <v>97.852392140283243</v>
      </c>
      <c r="D237" s="116">
        <v>97.894717443289238</v>
      </c>
      <c r="E237" s="116">
        <v>93.818283743967285</v>
      </c>
      <c r="F237" s="116">
        <v>93.376594275365321</v>
      </c>
    </row>
    <row r="238" spans="1:6" x14ac:dyDescent="0.25">
      <c r="A238" s="252">
        <f t="shared" si="3"/>
        <v>222</v>
      </c>
      <c r="B238" s="116">
        <v>102.7481589752459</v>
      </c>
      <c r="C238" s="116">
        <v>98.94755567268912</v>
      </c>
      <c r="D238" s="116">
        <v>98.240133832539158</v>
      </c>
      <c r="E238" s="116">
        <v>95.238202071155783</v>
      </c>
      <c r="F238" s="116">
        <v>92.016866893207862</v>
      </c>
    </row>
    <row r="239" spans="1:6" x14ac:dyDescent="0.25">
      <c r="A239" s="252">
        <f t="shared" si="3"/>
        <v>223</v>
      </c>
      <c r="B239" s="116">
        <v>105.15635397231745</v>
      </c>
      <c r="C239" s="116">
        <v>99.592463077126297</v>
      </c>
      <c r="D239" s="116">
        <v>97.959973759110653</v>
      </c>
      <c r="E239" s="116">
        <v>94.69353976916986</v>
      </c>
      <c r="F239" s="116">
        <v>91.660120344384083</v>
      </c>
    </row>
    <row r="240" spans="1:6" x14ac:dyDescent="0.25">
      <c r="A240" s="252">
        <f t="shared" si="3"/>
        <v>224</v>
      </c>
      <c r="B240" s="116">
        <v>102.69448696256765</v>
      </c>
      <c r="C240" s="116">
        <v>97.965868795102665</v>
      </c>
      <c r="D240" s="116">
        <v>98.56155582887807</v>
      </c>
      <c r="E240" s="116">
        <v>94.763733112185164</v>
      </c>
      <c r="F240" s="116">
        <v>93.390361842615434</v>
      </c>
    </row>
    <row r="241" spans="1:6" x14ac:dyDescent="0.25">
      <c r="A241" s="252">
        <f t="shared" si="3"/>
        <v>225</v>
      </c>
      <c r="B241" s="116">
        <v>100.22090507842931</v>
      </c>
      <c r="C241" s="116">
        <v>101.71530482120696</v>
      </c>
      <c r="D241" s="116">
        <v>96.046970890913613</v>
      </c>
      <c r="E241" s="116">
        <v>94.75448317486709</v>
      </c>
      <c r="F241" s="116">
        <v>94.356362661931712</v>
      </c>
    </row>
    <row r="242" spans="1:6" x14ac:dyDescent="0.25">
      <c r="A242" s="252">
        <f t="shared" si="3"/>
        <v>226</v>
      </c>
      <c r="B242" s="116">
        <v>102.6242095702414</v>
      </c>
      <c r="C242" s="116">
        <v>96.849143273057251</v>
      </c>
      <c r="D242" s="116">
        <v>99.965608199260885</v>
      </c>
      <c r="E242" s="116">
        <v>95.495535450576725</v>
      </c>
      <c r="F242" s="116">
        <v>92.123023340558348</v>
      </c>
    </row>
    <row r="243" spans="1:6" x14ac:dyDescent="0.25">
      <c r="A243" s="252">
        <f t="shared" si="3"/>
        <v>227</v>
      </c>
      <c r="B243" s="116">
        <v>102.28338131752969</v>
      </c>
      <c r="C243" s="116">
        <v>98.38133993241324</v>
      </c>
      <c r="D243" s="116">
        <v>97.829891742329195</v>
      </c>
      <c r="E243" s="116">
        <v>95.494997917766227</v>
      </c>
      <c r="F243" s="116">
        <v>93.613158295367754</v>
      </c>
    </row>
    <row r="244" spans="1:6" x14ac:dyDescent="0.25">
      <c r="A244" s="252">
        <f t="shared" si="3"/>
        <v>228</v>
      </c>
      <c r="B244" s="116">
        <v>104.51069112591576</v>
      </c>
      <c r="C244" s="116">
        <v>98.40688487696157</v>
      </c>
      <c r="D244" s="116">
        <v>98.662231498983971</v>
      </c>
      <c r="E244" s="116">
        <v>94.488459694075473</v>
      </c>
      <c r="F244" s="116">
        <v>93.123716745430713</v>
      </c>
    </row>
    <row r="245" spans="1:6" x14ac:dyDescent="0.25">
      <c r="A245" s="252">
        <f t="shared" si="3"/>
        <v>229</v>
      </c>
      <c r="B245" s="116">
        <v>101.47637455020376</v>
      </c>
      <c r="C245" s="116">
        <v>102.0073817407679</v>
      </c>
      <c r="D245" s="116">
        <v>94.65611382211614</v>
      </c>
      <c r="E245" s="116">
        <v>94.135585986538274</v>
      </c>
      <c r="F245" s="116">
        <v>91.760156621696254</v>
      </c>
    </row>
    <row r="246" spans="1:6" x14ac:dyDescent="0.25">
      <c r="A246" s="252">
        <f t="shared" si="3"/>
        <v>230</v>
      </c>
      <c r="B246" s="116">
        <v>102.72493101944066</v>
      </c>
      <c r="C246" s="116">
        <v>101.79039822847633</v>
      </c>
      <c r="D246" s="116">
        <v>96.946521089880008</v>
      </c>
      <c r="E246" s="116">
        <v>95.169065392401521</v>
      </c>
      <c r="F246" s="116">
        <v>91.491490104991826</v>
      </c>
    </row>
    <row r="247" spans="1:6" x14ac:dyDescent="0.25">
      <c r="A247" s="252">
        <f t="shared" si="3"/>
        <v>231</v>
      </c>
      <c r="B247" s="116">
        <v>102.04328441939408</v>
      </c>
      <c r="C247" s="116">
        <v>94.787345992372309</v>
      </c>
      <c r="D247" s="116">
        <v>96.170652972659724</v>
      </c>
      <c r="E247" s="116">
        <v>92.285552294840329</v>
      </c>
      <c r="F247" s="116">
        <v>90.267195436694394</v>
      </c>
    </row>
    <row r="248" spans="1:6" x14ac:dyDescent="0.25">
      <c r="A248" s="252">
        <f t="shared" si="3"/>
        <v>232</v>
      </c>
      <c r="B248" s="116">
        <v>101.54188240138377</v>
      </c>
      <c r="C248" s="116">
        <v>100.53243690945166</v>
      </c>
      <c r="D248" s="116">
        <v>97.209743392677993</v>
      </c>
      <c r="E248" s="116">
        <v>94.456587341829547</v>
      </c>
      <c r="F248" s="116">
        <v>93.786434508437438</v>
      </c>
    </row>
    <row r="249" spans="1:6" x14ac:dyDescent="0.25">
      <c r="A249" s="252">
        <f t="shared" si="3"/>
        <v>233</v>
      </c>
      <c r="B249" s="116">
        <v>100.82960496379201</v>
      </c>
      <c r="C249" s="116">
        <v>96.925657395389692</v>
      </c>
      <c r="D249" s="116">
        <v>96.588482891109308</v>
      </c>
      <c r="E249" s="116">
        <v>94.275932932307825</v>
      </c>
      <c r="F249" s="116">
        <v>94.505289017274166</v>
      </c>
    </row>
    <row r="250" spans="1:6" x14ac:dyDescent="0.25">
      <c r="A250" s="252">
        <f t="shared" si="3"/>
        <v>234</v>
      </c>
      <c r="B250" s="116">
        <v>102.84565904848107</v>
      </c>
      <c r="C250" s="116">
        <v>94.436538426880105</v>
      </c>
      <c r="D250" s="116">
        <v>100.34036498399244</v>
      </c>
      <c r="E250" s="116">
        <v>94.668820962940046</v>
      </c>
      <c r="F250" s="116">
        <v>92.912352808128347</v>
      </c>
    </row>
    <row r="251" spans="1:6" x14ac:dyDescent="0.25">
      <c r="A251" s="252">
        <f t="shared" si="3"/>
        <v>235</v>
      </c>
      <c r="B251" s="116">
        <v>104.58134310189877</v>
      </c>
      <c r="C251" s="116">
        <v>99.568762079691524</v>
      </c>
      <c r="D251" s="116">
        <v>97.197087574812201</v>
      </c>
      <c r="E251" s="116">
        <v>96.003224028085157</v>
      </c>
      <c r="F251" s="116">
        <v>92.687343496421292</v>
      </c>
    </row>
    <row r="252" spans="1:6" x14ac:dyDescent="0.25">
      <c r="A252" s="252">
        <f t="shared" si="3"/>
        <v>236</v>
      </c>
      <c r="B252" s="116">
        <v>103.45863399135206</v>
      </c>
      <c r="C252" s="116">
        <v>102.63060763867536</v>
      </c>
      <c r="D252" s="116">
        <v>98.860211626616206</v>
      </c>
      <c r="E252" s="116">
        <v>95.016514439897307</v>
      </c>
      <c r="F252" s="116">
        <v>93.57419932026302</v>
      </c>
    </row>
    <row r="253" spans="1:6" x14ac:dyDescent="0.25">
      <c r="A253" s="252">
        <f t="shared" si="3"/>
        <v>237</v>
      </c>
      <c r="B253" s="116">
        <v>103.1368375395721</v>
      </c>
      <c r="C253" s="116">
        <v>98.852408362785553</v>
      </c>
      <c r="D253" s="116">
        <v>96.968253507446235</v>
      </c>
      <c r="E253" s="116">
        <v>94.806840840566878</v>
      </c>
      <c r="F253" s="116">
        <v>93.367687242302679</v>
      </c>
    </row>
    <row r="254" spans="1:6" x14ac:dyDescent="0.25">
      <c r="A254" s="252">
        <f t="shared" si="3"/>
        <v>238</v>
      </c>
      <c r="B254" s="116">
        <v>100.64539303277212</v>
      </c>
      <c r="C254" s="116">
        <v>100.7668316343743</v>
      </c>
      <c r="D254" s="116">
        <v>97.216799701491013</v>
      </c>
      <c r="E254" s="116">
        <v>96.492096981142311</v>
      </c>
      <c r="F254" s="116">
        <v>92.720977710464282</v>
      </c>
    </row>
    <row r="255" spans="1:6" x14ac:dyDescent="0.25">
      <c r="A255" s="252">
        <f t="shared" si="3"/>
        <v>239</v>
      </c>
      <c r="B255" s="116">
        <v>104.28245284969776</v>
      </c>
      <c r="C255" s="116">
        <v>101.43409754241563</v>
      </c>
      <c r="D255" s="116">
        <v>97.076512988214461</v>
      </c>
      <c r="E255" s="116">
        <v>94.415822335786459</v>
      </c>
      <c r="F255" s="116">
        <v>92.875952638434811</v>
      </c>
    </row>
    <row r="256" spans="1:6" x14ac:dyDescent="0.25">
      <c r="A256" s="252">
        <f t="shared" si="3"/>
        <v>240</v>
      </c>
      <c r="B256" s="116">
        <v>101.78028385236742</v>
      </c>
      <c r="C256" s="116">
        <v>98.529801403231176</v>
      </c>
      <c r="D256" s="116">
        <v>97.921255478290661</v>
      </c>
      <c r="E256" s="116">
        <v>95.436017239517994</v>
      </c>
      <c r="F256" s="116">
        <v>93.877769552203674</v>
      </c>
    </row>
    <row r="257" spans="1:6" x14ac:dyDescent="0.25">
      <c r="A257" s="252">
        <f t="shared" si="3"/>
        <v>241</v>
      </c>
      <c r="B257" s="116">
        <v>103.3882480914215</v>
      </c>
      <c r="C257" s="116">
        <v>98.170615942282495</v>
      </c>
      <c r="D257" s="116">
        <v>97.748415414953143</v>
      </c>
      <c r="E257" s="116">
        <v>93.564099810717479</v>
      </c>
      <c r="F257" s="116">
        <v>92.4345032886079</v>
      </c>
    </row>
    <row r="258" spans="1:6" x14ac:dyDescent="0.25">
      <c r="A258" s="252">
        <f t="shared" si="3"/>
        <v>242</v>
      </c>
      <c r="B258" s="116">
        <v>102.40206577983398</v>
      </c>
      <c r="C258" s="116">
        <v>102.17353738149534</v>
      </c>
      <c r="D258" s="116">
        <v>97.553242431375779</v>
      </c>
      <c r="E258" s="116">
        <v>94.831560148271308</v>
      </c>
      <c r="F258" s="116">
        <v>92.622974249533939</v>
      </c>
    </row>
    <row r="259" spans="1:6" x14ac:dyDescent="0.25">
      <c r="A259" s="252">
        <f t="shared" si="3"/>
        <v>243</v>
      </c>
      <c r="B259" s="116">
        <v>103.73786237862465</v>
      </c>
      <c r="C259" s="116">
        <v>100.69799806091078</v>
      </c>
      <c r="D259" s="116">
        <v>96.867927372367006</v>
      </c>
      <c r="E259" s="116">
        <v>95.026834301837582</v>
      </c>
      <c r="F259" s="116">
        <v>94.03692935967247</v>
      </c>
    </row>
    <row r="260" spans="1:6" x14ac:dyDescent="0.25">
      <c r="A260" s="252">
        <f t="shared" si="3"/>
        <v>244</v>
      </c>
      <c r="B260" s="116">
        <v>102.3592275894331</v>
      </c>
      <c r="C260" s="116">
        <v>99.173310890122281</v>
      </c>
      <c r="D260" s="116">
        <v>96.137376435600089</v>
      </c>
      <c r="E260" s="116">
        <v>93.459883166214112</v>
      </c>
      <c r="F260" s="116">
        <v>94.770641563338089</v>
      </c>
    </row>
    <row r="261" spans="1:6" x14ac:dyDescent="0.25">
      <c r="A261" s="252">
        <f t="shared" si="3"/>
        <v>245</v>
      </c>
      <c r="B261" s="116">
        <v>99.393522607981652</v>
      </c>
      <c r="C261" s="116">
        <v>101.19590477029081</v>
      </c>
      <c r="D261" s="116">
        <v>98.059518091578099</v>
      </c>
      <c r="E261" s="116">
        <v>95.387939566460119</v>
      </c>
      <c r="F261" s="116">
        <v>92.672062783137989</v>
      </c>
    </row>
    <row r="262" spans="1:6" x14ac:dyDescent="0.25">
      <c r="A262" s="252">
        <f t="shared" si="3"/>
        <v>246</v>
      </c>
      <c r="B262" s="116">
        <v>100.30763464110109</v>
      </c>
      <c r="C262" s="116">
        <v>99.476730318459516</v>
      </c>
      <c r="D262" s="116">
        <v>96.228779887085182</v>
      </c>
      <c r="E262" s="116">
        <v>97.724260603292223</v>
      </c>
      <c r="F262" s="116">
        <v>93.224611321491395</v>
      </c>
    </row>
    <row r="263" spans="1:6" x14ac:dyDescent="0.25">
      <c r="A263" s="252">
        <f t="shared" si="3"/>
        <v>247</v>
      </c>
      <c r="B263" s="116">
        <v>102.23532788375003</v>
      </c>
      <c r="C263" s="116">
        <v>98.254341494735314</v>
      </c>
      <c r="D263" s="116">
        <v>97.675271327150625</v>
      </c>
      <c r="E263" s="116">
        <v>95.779932027710856</v>
      </c>
      <c r="F263" s="116">
        <v>92.4061407805264</v>
      </c>
    </row>
    <row r="264" spans="1:6" x14ac:dyDescent="0.25">
      <c r="A264" s="252">
        <f t="shared" si="3"/>
        <v>248</v>
      </c>
      <c r="B264" s="116">
        <v>100.20366524769285</v>
      </c>
      <c r="C264" s="116">
        <v>99.890270994619726</v>
      </c>
      <c r="D264" s="116">
        <v>98.843417178180104</v>
      </c>
      <c r="E264" s="116">
        <v>95.427548029178269</v>
      </c>
      <c r="F264" s="116">
        <v>90.631829745426529</v>
      </c>
    </row>
    <row r="265" spans="1:6" x14ac:dyDescent="0.25">
      <c r="A265" s="252">
        <f t="shared" si="3"/>
        <v>249</v>
      </c>
      <c r="B265" s="116">
        <v>104.98123225236165</v>
      </c>
      <c r="C265" s="116">
        <v>101.2389427863874</v>
      </c>
      <c r="D265" s="116">
        <v>96.522825696876282</v>
      </c>
      <c r="E265" s="116">
        <v>96.346654326053127</v>
      </c>
      <c r="F265" s="116">
        <v>92.863204743469993</v>
      </c>
    </row>
    <row r="266" spans="1:6" x14ac:dyDescent="0.25">
      <c r="A266" s="252">
        <f t="shared" si="3"/>
        <v>250</v>
      </c>
      <c r="B266" s="116">
        <v>103.21099091229773</v>
      </c>
      <c r="C266" s="116">
        <v>98.619651748426648</v>
      </c>
      <c r="D266" s="116">
        <v>98.783079329349292</v>
      </c>
      <c r="E266" s="116">
        <v>95.393405770640513</v>
      </c>
      <c r="F266" s="116">
        <v>93.431560222052866</v>
      </c>
    </row>
    <row r="267" spans="1:6" x14ac:dyDescent="0.25">
      <c r="A267" s="252">
        <f t="shared" si="3"/>
        <v>251</v>
      </c>
      <c r="B267" s="116">
        <v>103.28280281900993</v>
      </c>
      <c r="C267" s="116">
        <v>98.6838063585827</v>
      </c>
      <c r="D267" s="116">
        <v>96.625726967894266</v>
      </c>
      <c r="E267" s="116">
        <v>94.885186628961534</v>
      </c>
      <c r="F267" s="116">
        <v>93.846654535666445</v>
      </c>
    </row>
    <row r="268" spans="1:6" x14ac:dyDescent="0.25">
      <c r="A268" s="252">
        <f t="shared" si="3"/>
        <v>252</v>
      </c>
      <c r="B268" s="116">
        <v>99.619358681302671</v>
      </c>
      <c r="C268" s="116">
        <v>100.3976483982886</v>
      </c>
      <c r="D268" s="116">
        <v>96.264274797369723</v>
      </c>
      <c r="E268" s="116">
        <v>94.853225240525504</v>
      </c>
      <c r="F268" s="116">
        <v>94.592659173246872</v>
      </c>
    </row>
    <row r="269" spans="1:6" x14ac:dyDescent="0.25">
      <c r="A269" s="252">
        <f t="shared" si="3"/>
        <v>253</v>
      </c>
      <c r="B269" s="116">
        <v>99.984369168046285</v>
      </c>
      <c r="C269" s="116">
        <v>99.811343047312221</v>
      </c>
      <c r="D269" s="116">
        <v>99.146847952298444</v>
      </c>
      <c r="E269" s="116">
        <v>97.433402900137693</v>
      </c>
      <c r="F269" s="116">
        <v>92.880772788904309</v>
      </c>
    </row>
    <row r="270" spans="1:6" x14ac:dyDescent="0.25">
      <c r="A270" s="252">
        <f t="shared" si="3"/>
        <v>254</v>
      </c>
      <c r="B270" s="116">
        <v>104.79046566441643</v>
      </c>
      <c r="C270" s="116">
        <v>97.405805954596374</v>
      </c>
      <c r="D270" s="116">
        <v>97.174760455158108</v>
      </c>
      <c r="E270" s="116">
        <v>93.63589984241851</v>
      </c>
      <c r="F270" s="116">
        <v>92.116913637987224</v>
      </c>
    </row>
    <row r="271" spans="1:6" x14ac:dyDescent="0.25">
      <c r="A271" s="252">
        <f t="shared" si="3"/>
        <v>255</v>
      </c>
      <c r="B271" s="116">
        <v>97.974981725204742</v>
      </c>
      <c r="C271" s="116">
        <v>96.00352044937722</v>
      </c>
      <c r="D271" s="116">
        <v>97.315527480112948</v>
      </c>
      <c r="E271" s="116">
        <v>94.771508540267988</v>
      </c>
      <c r="F271" s="116">
        <v>93.044220649679218</v>
      </c>
    </row>
    <row r="272" spans="1:6" x14ac:dyDescent="0.25">
      <c r="A272" s="252">
        <f t="shared" si="3"/>
        <v>256</v>
      </c>
      <c r="B272" s="116">
        <v>101.54535564149138</v>
      </c>
      <c r="C272" s="116">
        <v>97.490525443732508</v>
      </c>
      <c r="D272" s="116">
        <v>99.26580559957992</v>
      </c>
      <c r="E272" s="116">
        <v>94.251657821887079</v>
      </c>
      <c r="F272" s="116">
        <v>93.9542495292864</v>
      </c>
    </row>
    <row r="273" spans="1:6" x14ac:dyDescent="0.25">
      <c r="A273" s="252">
        <f t="shared" si="3"/>
        <v>257</v>
      </c>
      <c r="B273" s="116">
        <v>102.32357140835634</v>
      </c>
      <c r="C273" s="116">
        <v>98.62231747279877</v>
      </c>
      <c r="D273" s="116">
        <v>97.779497107197344</v>
      </c>
      <c r="E273" s="116">
        <v>95.450260895294377</v>
      </c>
      <c r="F273" s="116">
        <v>93.57716394907392</v>
      </c>
    </row>
    <row r="274" spans="1:6" x14ac:dyDescent="0.25">
      <c r="A274" s="252">
        <f t="shared" si="3"/>
        <v>258</v>
      </c>
      <c r="B274" s="116">
        <v>104.4274073045036</v>
      </c>
      <c r="C274" s="116">
        <v>98.134796463828053</v>
      </c>
      <c r="D274" s="116">
        <v>98.104877461592864</v>
      </c>
      <c r="E274" s="116">
        <v>94.54434767234855</v>
      </c>
      <c r="F274" s="116">
        <v>93.044996349824643</v>
      </c>
    </row>
    <row r="275" spans="1:6" x14ac:dyDescent="0.25">
      <c r="A275" s="252">
        <f t="shared" ref="A275:A338" si="4">+A274+1</f>
        <v>259</v>
      </c>
      <c r="B275" s="116">
        <v>100.15887704778049</v>
      </c>
      <c r="C275" s="116">
        <v>101.31252056493608</v>
      </c>
      <c r="D275" s="116">
        <v>97.452768499945819</v>
      </c>
      <c r="E275" s="116">
        <v>94.108880761322041</v>
      </c>
      <c r="F275" s="116">
        <v>94.826422657734554</v>
      </c>
    </row>
    <row r="276" spans="1:6" x14ac:dyDescent="0.25">
      <c r="A276" s="252">
        <f t="shared" si="4"/>
        <v>260</v>
      </c>
      <c r="B276" s="116">
        <v>100.80805253189517</v>
      </c>
      <c r="C276" s="116">
        <v>99.77183744887293</v>
      </c>
      <c r="D276" s="116">
        <v>93.269676787116396</v>
      </c>
      <c r="E276" s="116">
        <v>94.333955992028521</v>
      </c>
      <c r="F276" s="116">
        <v>92.445800238713801</v>
      </c>
    </row>
    <row r="277" spans="1:6" x14ac:dyDescent="0.25">
      <c r="A277" s="252">
        <f t="shared" si="4"/>
        <v>261</v>
      </c>
      <c r="B277" s="116">
        <v>99.827285970109259</v>
      </c>
      <c r="C277" s="116">
        <v>98.638236670588626</v>
      </c>
      <c r="D277" s="116">
        <v>97.462549593947216</v>
      </c>
      <c r="E277" s="116">
        <v>95.089367355420961</v>
      </c>
      <c r="F277" s="116">
        <v>92.947959931340293</v>
      </c>
    </row>
    <row r="278" spans="1:6" x14ac:dyDescent="0.25">
      <c r="A278" s="252">
        <f t="shared" si="4"/>
        <v>262</v>
      </c>
      <c r="B278" s="116">
        <v>103.23871731255736</v>
      </c>
      <c r="C278" s="116">
        <v>100.63807740547743</v>
      </c>
      <c r="D278" s="116">
        <v>97.309306943304605</v>
      </c>
      <c r="E278" s="116">
        <v>94.116304533375356</v>
      </c>
      <c r="F278" s="116">
        <v>92.065372949084889</v>
      </c>
    </row>
    <row r="279" spans="1:6" x14ac:dyDescent="0.25">
      <c r="A279" s="252">
        <f t="shared" si="4"/>
        <v>263</v>
      </c>
      <c r="B279" s="116">
        <v>102.85775205128438</v>
      </c>
      <c r="C279" s="116">
        <v>98.502334404288291</v>
      </c>
      <c r="D279" s="116">
        <v>96.30698457906324</v>
      </c>
      <c r="E279" s="116">
        <v>95.357777198653054</v>
      </c>
      <c r="F279" s="116">
        <v>92.295685384782971</v>
      </c>
    </row>
    <row r="280" spans="1:6" x14ac:dyDescent="0.25">
      <c r="A280" s="252">
        <f t="shared" si="4"/>
        <v>264</v>
      </c>
      <c r="B280" s="116">
        <v>104.95672595884393</v>
      </c>
      <c r="C280" s="116">
        <v>97.920129943856708</v>
      </c>
      <c r="D280" s="116">
        <v>95.394635348485536</v>
      </c>
      <c r="E280" s="116">
        <v>95.360598252522237</v>
      </c>
      <c r="F280" s="116">
        <v>93.206275650852533</v>
      </c>
    </row>
    <row r="281" spans="1:6" x14ac:dyDescent="0.25">
      <c r="A281" s="252">
        <f t="shared" si="4"/>
        <v>265</v>
      </c>
      <c r="B281" s="116">
        <v>100.16098564272463</v>
      </c>
      <c r="C281" s="116">
        <v>99.039875229450004</v>
      </c>
      <c r="D281" s="116">
        <v>97.062077322029566</v>
      </c>
      <c r="E281" s="116">
        <v>94.327255590840707</v>
      </c>
      <c r="F281" s="116">
        <v>91.198355728040369</v>
      </c>
    </row>
    <row r="282" spans="1:6" x14ac:dyDescent="0.25">
      <c r="A282" s="252">
        <f t="shared" si="4"/>
        <v>266</v>
      </c>
      <c r="B282" s="116">
        <v>101.96730824310796</v>
      </c>
      <c r="C282" s="116">
        <v>98.973702525380716</v>
      </c>
      <c r="D282" s="116">
        <v>98.590285411202302</v>
      </c>
      <c r="E282" s="116">
        <v>96.509479180698492</v>
      </c>
      <c r="F282" s="116">
        <v>91.508218607461885</v>
      </c>
    </row>
    <row r="283" spans="1:6" x14ac:dyDescent="0.25">
      <c r="A283" s="252">
        <f t="shared" si="4"/>
        <v>267</v>
      </c>
      <c r="B283" s="116">
        <v>102.43470466908778</v>
      </c>
      <c r="C283" s="116">
        <v>99.367653622111732</v>
      </c>
      <c r="D283" s="116">
        <v>99.103835791334248</v>
      </c>
      <c r="E283" s="116">
        <v>96.436326818417513</v>
      </c>
      <c r="F283" s="116">
        <v>93.352090396088911</v>
      </c>
    </row>
    <row r="284" spans="1:6" x14ac:dyDescent="0.25">
      <c r="A284" s="252">
        <f t="shared" si="4"/>
        <v>268</v>
      </c>
      <c r="B284" s="116">
        <v>102.52243769035526</v>
      </c>
      <c r="C284" s="116">
        <v>98.450383447468027</v>
      </c>
      <c r="D284" s="116">
        <v>97.182874178425578</v>
      </c>
      <c r="E284" s="116">
        <v>95.134993761703029</v>
      </c>
      <c r="F284" s="116">
        <v>93.535400014536933</v>
      </c>
    </row>
    <row r="285" spans="1:6" x14ac:dyDescent="0.25">
      <c r="A285" s="252">
        <f t="shared" si="4"/>
        <v>269</v>
      </c>
      <c r="B285" s="116">
        <v>101.03190825925603</v>
      </c>
      <c r="C285" s="116">
        <v>100.5604148715821</v>
      </c>
      <c r="D285" s="116">
        <v>96.419550072529972</v>
      </c>
      <c r="E285" s="116">
        <v>95.984655221706106</v>
      </c>
      <c r="F285" s="116">
        <v>92.23740661189602</v>
      </c>
    </row>
    <row r="286" spans="1:6" x14ac:dyDescent="0.25">
      <c r="A286" s="252">
        <f t="shared" si="4"/>
        <v>270</v>
      </c>
      <c r="B286" s="116">
        <v>101.32394775184839</v>
      </c>
      <c r="C286" s="116">
        <v>99.535407318714846</v>
      </c>
      <c r="D286" s="116">
        <v>94.66989839170914</v>
      </c>
      <c r="E286" s="116">
        <v>93.345825506769941</v>
      </c>
      <c r="F286" s="116">
        <v>94.539361717524599</v>
      </c>
    </row>
    <row r="287" spans="1:6" x14ac:dyDescent="0.25">
      <c r="A287" s="252">
        <f t="shared" si="4"/>
        <v>271</v>
      </c>
      <c r="B287" s="116">
        <v>101.14855205690334</v>
      </c>
      <c r="C287" s="116">
        <v>98.464276059332533</v>
      </c>
      <c r="D287" s="116">
        <v>97.989587178107783</v>
      </c>
      <c r="E287" s="116">
        <v>93.625733962369935</v>
      </c>
      <c r="F287" s="116">
        <v>93.026817687081532</v>
      </c>
    </row>
    <row r="288" spans="1:6" x14ac:dyDescent="0.25">
      <c r="A288" s="252">
        <f t="shared" si="4"/>
        <v>272</v>
      </c>
      <c r="B288" s="116">
        <v>104.81203314905423</v>
      </c>
      <c r="C288" s="116">
        <v>97.965340795006469</v>
      </c>
      <c r="D288" s="116">
        <v>92.824015209234204</v>
      </c>
      <c r="E288" s="116">
        <v>96.108983221840234</v>
      </c>
      <c r="F288" s="116">
        <v>92.555908419550846</v>
      </c>
    </row>
    <row r="289" spans="1:6" x14ac:dyDescent="0.25">
      <c r="A289" s="252">
        <f t="shared" si="4"/>
        <v>273</v>
      </c>
      <c r="B289" s="116">
        <v>103.67145580633267</v>
      </c>
      <c r="C289" s="116">
        <v>98.385930284850829</v>
      </c>
      <c r="D289" s="116">
        <v>98.1057983009201</v>
      </c>
      <c r="E289" s="116">
        <v>94.439894951379117</v>
      </c>
      <c r="F289" s="116">
        <v>94.294198196928846</v>
      </c>
    </row>
    <row r="290" spans="1:6" x14ac:dyDescent="0.25">
      <c r="A290" s="252">
        <f t="shared" si="4"/>
        <v>274</v>
      </c>
      <c r="B290" s="116">
        <v>100.31896192228471</v>
      </c>
      <c r="C290" s="116">
        <v>95.957536865476115</v>
      </c>
      <c r="D290" s="116">
        <v>98.906683953964048</v>
      </c>
      <c r="E290" s="116">
        <v>92.297149815450268</v>
      </c>
      <c r="F290" s="116">
        <v>94.112160318564946</v>
      </c>
    </row>
    <row r="291" spans="1:6" x14ac:dyDescent="0.25">
      <c r="A291" s="252">
        <f t="shared" si="4"/>
        <v>275</v>
      </c>
      <c r="B291" s="116">
        <v>102.04802718066792</v>
      </c>
      <c r="C291" s="116">
        <v>98.375686161772137</v>
      </c>
      <c r="D291" s="116">
        <v>95.570148314685881</v>
      </c>
      <c r="E291" s="116">
        <v>95.903009699338341</v>
      </c>
      <c r="F291" s="116">
        <v>93.06989452859608</v>
      </c>
    </row>
    <row r="292" spans="1:6" x14ac:dyDescent="0.25">
      <c r="A292" s="252">
        <f t="shared" si="4"/>
        <v>276</v>
      </c>
      <c r="B292" s="116">
        <v>103.90470508142393</v>
      </c>
      <c r="C292" s="116">
        <v>99.136602310459125</v>
      </c>
      <c r="D292" s="116">
        <v>97.529657772474536</v>
      </c>
      <c r="E292" s="116">
        <v>96.62440756819106</v>
      </c>
      <c r="F292" s="116">
        <v>91.243662934395132</v>
      </c>
    </row>
    <row r="293" spans="1:6" x14ac:dyDescent="0.25">
      <c r="A293" s="252">
        <f t="shared" si="4"/>
        <v>277</v>
      </c>
      <c r="B293" s="116">
        <v>106.12404583466015</v>
      </c>
      <c r="C293" s="116">
        <v>101.67401231221336</v>
      </c>
      <c r="D293" s="116">
        <v>97.846596861958261</v>
      </c>
      <c r="E293" s="116">
        <v>94.167153358773817</v>
      </c>
      <c r="F293" s="116">
        <v>93.614314864232568</v>
      </c>
    </row>
    <row r="294" spans="1:6" x14ac:dyDescent="0.25">
      <c r="A294" s="252">
        <f t="shared" si="4"/>
        <v>278</v>
      </c>
      <c r="B294" s="116">
        <v>103.16031588393143</v>
      </c>
      <c r="C294" s="116">
        <v>100.85589399981905</v>
      </c>
      <c r="D294" s="116">
        <v>95.891404578935607</v>
      </c>
      <c r="E294" s="116">
        <v>94.699567911375325</v>
      </c>
      <c r="F294" s="116">
        <v>93.182303425331028</v>
      </c>
    </row>
    <row r="295" spans="1:6" x14ac:dyDescent="0.25">
      <c r="A295" s="252">
        <f t="shared" si="4"/>
        <v>279</v>
      </c>
      <c r="B295" s="116">
        <v>101.3374654680615</v>
      </c>
      <c r="C295" s="116">
        <v>99.082456978262698</v>
      </c>
      <c r="D295" s="116">
        <v>97.675461266596841</v>
      </c>
      <c r="E295" s="116">
        <v>94.519248383152728</v>
      </c>
      <c r="F295" s="116">
        <v>91.75552161968649</v>
      </c>
    </row>
    <row r="296" spans="1:6" x14ac:dyDescent="0.25">
      <c r="A296" s="252">
        <f t="shared" si="4"/>
        <v>280</v>
      </c>
      <c r="B296" s="116">
        <v>98.941112370024541</v>
      </c>
      <c r="C296" s="116">
        <v>97.345059628744224</v>
      </c>
      <c r="D296" s="116">
        <v>97.191153992398498</v>
      </c>
      <c r="E296" s="116">
        <v>94.818431717255379</v>
      </c>
      <c r="F296" s="116">
        <v>91.404239528492027</v>
      </c>
    </row>
    <row r="297" spans="1:6" x14ac:dyDescent="0.25">
      <c r="A297" s="252">
        <f t="shared" si="4"/>
        <v>281</v>
      </c>
      <c r="B297" s="116">
        <v>100.14922725447956</v>
      </c>
      <c r="C297" s="116">
        <v>95.890313231150387</v>
      </c>
      <c r="D297" s="116">
        <v>95.564246271933129</v>
      </c>
      <c r="E297" s="116">
        <v>95.045841170527851</v>
      </c>
      <c r="F297" s="116">
        <v>92.718789652958364</v>
      </c>
    </row>
    <row r="298" spans="1:6" x14ac:dyDescent="0.25">
      <c r="A298" s="252">
        <f t="shared" si="4"/>
        <v>282</v>
      </c>
      <c r="B298" s="116">
        <v>104.7949694778829</v>
      </c>
      <c r="C298" s="116">
        <v>96.276519068892554</v>
      </c>
      <c r="D298" s="116">
        <v>95.603667434710673</v>
      </c>
      <c r="E298" s="116">
        <v>94.937774229583468</v>
      </c>
      <c r="F298" s="116">
        <v>93.123523590136926</v>
      </c>
    </row>
    <row r="299" spans="1:6" x14ac:dyDescent="0.25">
      <c r="A299" s="252">
        <f t="shared" si="4"/>
        <v>283</v>
      </c>
      <c r="B299" s="116">
        <v>101.00615101367687</v>
      </c>
      <c r="C299" s="116">
        <v>96.453007091277755</v>
      </c>
      <c r="D299" s="116">
        <v>97.998776645645393</v>
      </c>
      <c r="E299" s="116">
        <v>96.689417173022903</v>
      </c>
      <c r="F299" s="116">
        <v>93.893387516106941</v>
      </c>
    </row>
    <row r="300" spans="1:6" x14ac:dyDescent="0.25">
      <c r="A300" s="252">
        <f t="shared" si="4"/>
        <v>284</v>
      </c>
      <c r="B300" s="116">
        <v>102.06809381854798</v>
      </c>
      <c r="C300" s="116">
        <v>99.68114472858791</v>
      </c>
      <c r="D300" s="116">
        <v>97.846412874577013</v>
      </c>
      <c r="E300" s="116">
        <v>94.795888441652949</v>
      </c>
      <c r="F300" s="116">
        <v>92.819254218652404</v>
      </c>
    </row>
    <row r="301" spans="1:6" x14ac:dyDescent="0.25">
      <c r="A301" s="252">
        <f t="shared" si="4"/>
        <v>285</v>
      </c>
      <c r="B301" s="116">
        <v>103.35549079147296</v>
      </c>
      <c r="C301" s="116">
        <v>99.249915890559024</v>
      </c>
      <c r="D301" s="116">
        <v>97.719268467924735</v>
      </c>
      <c r="E301" s="116">
        <v>93.355371826969133</v>
      </c>
      <c r="F301" s="116">
        <v>92.954364677910746</v>
      </c>
    </row>
    <row r="302" spans="1:6" x14ac:dyDescent="0.25">
      <c r="A302" s="252">
        <f t="shared" si="4"/>
        <v>286</v>
      </c>
      <c r="B302" s="116">
        <v>105.34132764692555</v>
      </c>
      <c r="C302" s="116">
        <v>97.772979196843323</v>
      </c>
      <c r="D302" s="116">
        <v>95.588874403359654</v>
      </c>
      <c r="E302" s="116">
        <v>96.036861077193748</v>
      </c>
      <c r="F302" s="116">
        <v>93.127889947527564</v>
      </c>
    </row>
    <row r="303" spans="1:6" x14ac:dyDescent="0.25">
      <c r="A303" s="252">
        <f t="shared" si="4"/>
        <v>287</v>
      </c>
      <c r="B303" s="116">
        <v>102.44741361951793</v>
      </c>
      <c r="C303" s="116">
        <v>99.584820234134625</v>
      </c>
      <c r="D303" s="116">
        <v>95.820857895487734</v>
      </c>
      <c r="E303" s="116">
        <v>93.53512007492867</v>
      </c>
      <c r="F303" s="116">
        <v>92.255653617207471</v>
      </c>
    </row>
    <row r="304" spans="1:6" x14ac:dyDescent="0.25">
      <c r="A304" s="252">
        <f t="shared" si="4"/>
        <v>288</v>
      </c>
      <c r="B304" s="116">
        <v>99.931566139444769</v>
      </c>
      <c r="C304" s="116">
        <v>100.48494149280467</v>
      </c>
      <c r="D304" s="116">
        <v>96.392938512120239</v>
      </c>
      <c r="E304" s="116">
        <v>95.480128566032789</v>
      </c>
      <c r="F304" s="116">
        <v>94.964663200294197</v>
      </c>
    </row>
    <row r="305" spans="1:6" x14ac:dyDescent="0.25">
      <c r="A305" s="252">
        <f t="shared" si="4"/>
        <v>289</v>
      </c>
      <c r="B305" s="116">
        <v>100.51564076167263</v>
      </c>
      <c r="C305" s="116">
        <v>99.913832776389469</v>
      </c>
      <c r="D305" s="116">
        <v>95.807117246303307</v>
      </c>
      <c r="E305" s="116">
        <v>94.537278900286196</v>
      </c>
      <c r="F305" s="116">
        <v>92.714038218001249</v>
      </c>
    </row>
    <row r="306" spans="1:6" x14ac:dyDescent="0.25">
      <c r="A306" s="252">
        <f t="shared" si="4"/>
        <v>290</v>
      </c>
      <c r="B306" s="116">
        <v>103.98978487036216</v>
      </c>
      <c r="C306" s="116">
        <v>98.246962348436099</v>
      </c>
      <c r="D306" s="116">
        <v>94.286195310225906</v>
      </c>
      <c r="E306" s="116">
        <v>95.635606668646119</v>
      </c>
      <c r="F306" s="116">
        <v>92.490010715838494</v>
      </c>
    </row>
    <row r="307" spans="1:6" x14ac:dyDescent="0.25">
      <c r="A307" s="252">
        <f t="shared" si="4"/>
        <v>291</v>
      </c>
      <c r="B307" s="116">
        <v>98.966019696396614</v>
      </c>
      <c r="C307" s="116">
        <v>98.78739606708703</v>
      </c>
      <c r="D307" s="116">
        <v>96.282760248206486</v>
      </c>
      <c r="E307" s="116">
        <v>95.277794091428987</v>
      </c>
      <c r="F307" s="116">
        <v>93.214327467255771</v>
      </c>
    </row>
    <row r="308" spans="1:6" x14ac:dyDescent="0.25">
      <c r="A308" s="252">
        <f t="shared" si="4"/>
        <v>292</v>
      </c>
      <c r="B308" s="116">
        <v>105.42824946202118</v>
      </c>
      <c r="C308" s="116">
        <v>99.62466193110275</v>
      </c>
      <c r="D308" s="116">
        <v>99.828164553179747</v>
      </c>
      <c r="E308" s="116">
        <v>94.91926945496769</v>
      </c>
      <c r="F308" s="116">
        <v>92.172516471388718</v>
      </c>
    </row>
    <row r="309" spans="1:6" x14ac:dyDescent="0.25">
      <c r="A309" s="252">
        <f t="shared" si="4"/>
        <v>293</v>
      </c>
      <c r="B309" s="116">
        <v>104.13710112975292</v>
      </c>
      <c r="C309" s="116">
        <v>99.356235577993445</v>
      </c>
      <c r="D309" s="116">
        <v>98.384050388788538</v>
      </c>
      <c r="E309" s="116">
        <v>94.722882149223892</v>
      </c>
      <c r="F309" s="116">
        <v>92.167282158844088</v>
      </c>
    </row>
    <row r="310" spans="1:6" x14ac:dyDescent="0.25">
      <c r="A310" s="252">
        <f t="shared" si="4"/>
        <v>294</v>
      </c>
      <c r="B310" s="116">
        <v>99.630244964041694</v>
      </c>
      <c r="C310" s="116">
        <v>96.764255113412503</v>
      </c>
      <c r="D310" s="116">
        <v>98.03116245892754</v>
      </c>
      <c r="E310" s="116">
        <v>93.103565690570463</v>
      </c>
      <c r="F310" s="116">
        <v>93.550531535967792</v>
      </c>
    </row>
    <row r="311" spans="1:6" x14ac:dyDescent="0.25">
      <c r="A311" s="252">
        <f t="shared" si="4"/>
        <v>295</v>
      </c>
      <c r="B311" s="116">
        <v>101.45944174001636</v>
      </c>
      <c r="C311" s="116">
        <v>98.189096008585281</v>
      </c>
      <c r="D311" s="116">
        <v>92.268697052308369</v>
      </c>
      <c r="E311" s="116">
        <v>95.295326964989954</v>
      </c>
      <c r="F311" s="116">
        <v>91.539090531338701</v>
      </c>
    </row>
    <row r="312" spans="1:6" x14ac:dyDescent="0.25">
      <c r="A312" s="252">
        <f t="shared" si="4"/>
        <v>296</v>
      </c>
      <c r="B312" s="116">
        <v>102.62600099492749</v>
      </c>
      <c r="C312" s="116">
        <v>98.888389796290284</v>
      </c>
      <c r="D312" s="116">
        <v>97.06506873480113</v>
      </c>
      <c r="E312" s="116">
        <v>96.428313544635614</v>
      </c>
      <c r="F312" s="116">
        <v>92.949469560138027</v>
      </c>
    </row>
    <row r="313" spans="1:6" x14ac:dyDescent="0.25">
      <c r="A313" s="252">
        <f t="shared" si="4"/>
        <v>297</v>
      </c>
      <c r="B313" s="116">
        <v>103.38373304941537</v>
      </c>
      <c r="C313" s="116">
        <v>99.746968498901879</v>
      </c>
      <c r="D313" s="116">
        <v>96.014009675228465</v>
      </c>
      <c r="E313" s="116">
        <v>94.669214071801065</v>
      </c>
      <c r="F313" s="116">
        <v>92.677056042384578</v>
      </c>
    </row>
    <row r="314" spans="1:6" x14ac:dyDescent="0.25">
      <c r="A314" s="252">
        <f t="shared" si="4"/>
        <v>298</v>
      </c>
      <c r="B314" s="116">
        <v>102.90027067658887</v>
      </c>
      <c r="C314" s="116">
        <v>97.117582503942131</v>
      </c>
      <c r="D314" s="116">
        <v>95.186277637489894</v>
      </c>
      <c r="E314" s="116">
        <v>93.908284090204617</v>
      </c>
      <c r="F314" s="116">
        <v>91.01353025827693</v>
      </c>
    </row>
    <row r="315" spans="1:6" x14ac:dyDescent="0.25">
      <c r="A315" s="252">
        <f t="shared" si="4"/>
        <v>299</v>
      </c>
      <c r="B315" s="116">
        <v>106.51794819938155</v>
      </c>
      <c r="C315" s="116">
        <v>98.313724730792018</v>
      </c>
      <c r="D315" s="116">
        <v>96.155242887348649</v>
      </c>
      <c r="E315" s="116">
        <v>97.168654291615297</v>
      </c>
      <c r="F315" s="116">
        <v>94.0880988398917</v>
      </c>
    </row>
    <row r="316" spans="1:6" x14ac:dyDescent="0.25">
      <c r="A316" s="252">
        <f t="shared" si="4"/>
        <v>300</v>
      </c>
      <c r="B316" s="116">
        <v>100.27090957588152</v>
      </c>
      <c r="C316" s="116">
        <v>98.315847076475023</v>
      </c>
      <c r="D316" s="116">
        <v>96.721760156155938</v>
      </c>
      <c r="E316" s="116">
        <v>94.504734549379648</v>
      </c>
      <c r="F316" s="116">
        <v>91.835658329018344</v>
      </c>
    </row>
    <row r="317" spans="1:6" x14ac:dyDescent="0.25">
      <c r="A317" s="252">
        <f t="shared" si="4"/>
        <v>301</v>
      </c>
      <c r="B317" s="116">
        <v>101.61559079368274</v>
      </c>
      <c r="C317" s="116">
        <v>99.511239184748931</v>
      </c>
      <c r="D317" s="116">
        <v>98.527775163118591</v>
      </c>
      <c r="E317" s="116">
        <v>94.505273573768932</v>
      </c>
      <c r="F317" s="116">
        <v>92.708605858472168</v>
      </c>
    </row>
    <row r="318" spans="1:6" x14ac:dyDescent="0.25">
      <c r="A318" s="252">
        <f t="shared" si="4"/>
        <v>302</v>
      </c>
      <c r="B318" s="116">
        <v>103.12008023402134</v>
      </c>
      <c r="C318" s="116">
        <v>100.41974874049293</v>
      </c>
      <c r="D318" s="116">
        <v>98.91221821588654</v>
      </c>
      <c r="E318" s="116">
        <v>94.561438949544453</v>
      </c>
      <c r="F318" s="116">
        <v>91.68925211587532</v>
      </c>
    </row>
    <row r="319" spans="1:6" x14ac:dyDescent="0.25">
      <c r="A319" s="252">
        <f t="shared" si="4"/>
        <v>303</v>
      </c>
      <c r="B319" s="116">
        <v>99.334555541470152</v>
      </c>
      <c r="C319" s="116">
        <v>99.87508957898369</v>
      </c>
      <c r="D319" s="116">
        <v>96.076320139067093</v>
      </c>
      <c r="E319" s="116">
        <v>94.711215964817043</v>
      </c>
      <c r="F319" s="116">
        <v>95.025741913274047</v>
      </c>
    </row>
    <row r="320" spans="1:6" x14ac:dyDescent="0.25">
      <c r="A320" s="252">
        <f t="shared" si="4"/>
        <v>304</v>
      </c>
      <c r="B320" s="116">
        <v>107.09100922626703</v>
      </c>
      <c r="C320" s="116">
        <v>98.054156453456699</v>
      </c>
      <c r="D320" s="116">
        <v>96.575911868577833</v>
      </c>
      <c r="E320" s="116">
        <v>94.167625539221888</v>
      </c>
      <c r="F320" s="116">
        <v>94.168417907077668</v>
      </c>
    </row>
    <row r="321" spans="1:6" x14ac:dyDescent="0.25">
      <c r="A321" s="252">
        <f t="shared" si="4"/>
        <v>305</v>
      </c>
      <c r="B321" s="116">
        <v>100.79660571361376</v>
      </c>
      <c r="C321" s="116">
        <v>101.46714386686331</v>
      </c>
      <c r="D321" s="116">
        <v>97.853049722351884</v>
      </c>
      <c r="E321" s="116">
        <v>93.55892097815105</v>
      </c>
      <c r="F321" s="116">
        <v>93.464250060822039</v>
      </c>
    </row>
    <row r="322" spans="1:6" x14ac:dyDescent="0.25">
      <c r="A322" s="252">
        <f t="shared" si="4"/>
        <v>306</v>
      </c>
      <c r="B322" s="116">
        <v>103.46305346079887</v>
      </c>
      <c r="C322" s="116">
        <v>97.78665104221156</v>
      </c>
      <c r="D322" s="116">
        <v>99.406247577550644</v>
      </c>
      <c r="E322" s="116">
        <v>92.813979224182546</v>
      </c>
      <c r="F322" s="116">
        <v>91.018595380077571</v>
      </c>
    </row>
    <row r="323" spans="1:6" x14ac:dyDescent="0.25">
      <c r="A323" s="252">
        <f t="shared" si="4"/>
        <v>307</v>
      </c>
      <c r="B323" s="116">
        <v>100.28648374506292</v>
      </c>
      <c r="C323" s="116">
        <v>98.60890881925026</v>
      </c>
      <c r="D323" s="116">
        <v>98.457602995575925</v>
      </c>
      <c r="E323" s="116">
        <v>94.67826219859576</v>
      </c>
      <c r="F323" s="116">
        <v>93.080220750974888</v>
      </c>
    </row>
    <row r="324" spans="1:6" x14ac:dyDescent="0.25">
      <c r="A324" s="252">
        <f t="shared" si="4"/>
        <v>308</v>
      </c>
      <c r="B324" s="116">
        <v>101.85654766933663</v>
      </c>
      <c r="C324" s="116">
        <v>99.702278380799783</v>
      </c>
      <c r="D324" s="116">
        <v>94.744034451411835</v>
      </c>
      <c r="E324" s="116">
        <v>95.740635918635974</v>
      </c>
      <c r="F324" s="116">
        <v>92.725203557046314</v>
      </c>
    </row>
    <row r="325" spans="1:6" x14ac:dyDescent="0.25">
      <c r="A325" s="252">
        <f t="shared" si="4"/>
        <v>309</v>
      </c>
      <c r="B325" s="116">
        <v>102.69234863387068</v>
      </c>
      <c r="C325" s="116">
        <v>99.564470236131314</v>
      </c>
      <c r="D325" s="116">
        <v>96.498251141150732</v>
      </c>
      <c r="E325" s="116">
        <v>94.093994947627195</v>
      </c>
      <c r="F325" s="116">
        <v>92.217724033875939</v>
      </c>
    </row>
    <row r="326" spans="1:6" x14ac:dyDescent="0.25">
      <c r="A326" s="252">
        <f t="shared" si="4"/>
        <v>310</v>
      </c>
      <c r="B326" s="116">
        <v>101.87969960467115</v>
      </c>
      <c r="C326" s="116">
        <v>99.488328210839583</v>
      </c>
      <c r="D326" s="116">
        <v>99.172682343672591</v>
      </c>
      <c r="E326" s="116">
        <v>93.602221809849112</v>
      </c>
      <c r="F326" s="116">
        <v>93.293474884181876</v>
      </c>
    </row>
    <row r="327" spans="1:6" x14ac:dyDescent="0.25">
      <c r="A327" s="252">
        <f t="shared" si="4"/>
        <v>311</v>
      </c>
      <c r="B327" s="116">
        <v>98.262361212231255</v>
      </c>
      <c r="C327" s="116">
        <v>98.07704916279674</v>
      </c>
      <c r="D327" s="116">
        <v>95.712691726169879</v>
      </c>
      <c r="E327" s="116">
        <v>96.420714441417431</v>
      </c>
      <c r="F327" s="116">
        <v>93.965401074602525</v>
      </c>
    </row>
    <row r="328" spans="1:6" x14ac:dyDescent="0.25">
      <c r="A328" s="252">
        <f t="shared" si="4"/>
        <v>312</v>
      </c>
      <c r="B328" s="116">
        <v>102.69055616968926</v>
      </c>
      <c r="C328" s="116">
        <v>97.822629687408764</v>
      </c>
      <c r="D328" s="116">
        <v>96.360766343174831</v>
      </c>
      <c r="E328" s="116">
        <v>94.774056495596341</v>
      </c>
      <c r="F328" s="116">
        <v>92.986563556574794</v>
      </c>
    </row>
    <row r="329" spans="1:6" x14ac:dyDescent="0.25">
      <c r="A329" s="252">
        <f t="shared" si="4"/>
        <v>313</v>
      </c>
      <c r="B329" s="116">
        <v>101.3826500188983</v>
      </c>
      <c r="C329" s="116">
        <v>98.202010597547613</v>
      </c>
      <c r="D329" s="116">
        <v>97.868433000797083</v>
      </c>
      <c r="E329" s="116">
        <v>95.22966136771511</v>
      </c>
      <c r="F329" s="116">
        <v>93.234282461269999</v>
      </c>
    </row>
    <row r="330" spans="1:6" x14ac:dyDescent="0.25">
      <c r="A330" s="252">
        <f t="shared" si="4"/>
        <v>314</v>
      </c>
      <c r="B330" s="116">
        <v>98.647127900372453</v>
      </c>
      <c r="C330" s="116">
        <v>101.30089884856565</v>
      </c>
      <c r="D330" s="116">
        <v>97.939613379870551</v>
      </c>
      <c r="E330" s="116">
        <v>95.096289416097619</v>
      </c>
      <c r="F330" s="116">
        <v>92.506194339906102</v>
      </c>
    </row>
    <row r="331" spans="1:6" x14ac:dyDescent="0.25">
      <c r="A331" s="252">
        <f t="shared" si="4"/>
        <v>315</v>
      </c>
      <c r="B331" s="116">
        <v>102.35059448085811</v>
      </c>
      <c r="C331" s="116">
        <v>99.074005485021104</v>
      </c>
      <c r="D331" s="116">
        <v>93.799154022423579</v>
      </c>
      <c r="E331" s="116">
        <v>97.325777198626355</v>
      </c>
      <c r="F331" s="116">
        <v>93.586821438581893</v>
      </c>
    </row>
    <row r="332" spans="1:6" x14ac:dyDescent="0.25">
      <c r="A332" s="252">
        <f t="shared" si="4"/>
        <v>316</v>
      </c>
      <c r="B332" s="116">
        <v>100.96104631820702</v>
      </c>
      <c r="C332" s="116">
        <v>97.54241914955162</v>
      </c>
      <c r="D332" s="116">
        <v>95.279882207957172</v>
      </c>
      <c r="E332" s="116">
        <v>93.874299813334204</v>
      </c>
      <c r="F332" s="116">
        <v>93.348903149576415</v>
      </c>
    </row>
    <row r="333" spans="1:6" x14ac:dyDescent="0.25">
      <c r="A333" s="252">
        <f t="shared" si="4"/>
        <v>317</v>
      </c>
      <c r="B333" s="116">
        <v>100.90033354925717</v>
      </c>
      <c r="C333" s="116">
        <v>98.921483079843441</v>
      </c>
      <c r="D333" s="116">
        <v>96.457561090591923</v>
      </c>
      <c r="E333" s="116">
        <v>94.672963835475812</v>
      </c>
      <c r="F333" s="116">
        <v>93.971596545059256</v>
      </c>
    </row>
    <row r="334" spans="1:6" x14ac:dyDescent="0.25">
      <c r="A334" s="252">
        <f t="shared" si="4"/>
        <v>318</v>
      </c>
      <c r="B334" s="116">
        <v>102.361980454639</v>
      </c>
      <c r="C334" s="116">
        <v>97.370097235424055</v>
      </c>
      <c r="D334" s="116">
        <v>97.945132462177142</v>
      </c>
      <c r="E334" s="116">
        <v>96.104140536721872</v>
      </c>
      <c r="F334" s="116">
        <v>93.587805378172035</v>
      </c>
    </row>
    <row r="335" spans="1:6" x14ac:dyDescent="0.25">
      <c r="A335" s="252">
        <f t="shared" si="4"/>
        <v>319</v>
      </c>
      <c r="B335" s="116">
        <v>101.21988187261638</v>
      </c>
      <c r="C335" s="116">
        <v>99.042746140721746</v>
      </c>
      <c r="D335" s="116">
        <v>96.830442740541315</v>
      </c>
      <c r="E335" s="116">
        <v>94.307618291341626</v>
      </c>
      <c r="F335" s="116">
        <v>92.007983594109859</v>
      </c>
    </row>
    <row r="336" spans="1:6" x14ac:dyDescent="0.25">
      <c r="A336" s="252">
        <f t="shared" si="4"/>
        <v>320</v>
      </c>
      <c r="B336" s="116">
        <v>102.09989340743094</v>
      </c>
      <c r="C336" s="116">
        <v>100.94795272550289</v>
      </c>
      <c r="D336" s="116">
        <v>100.25986021981771</v>
      </c>
      <c r="E336" s="116">
        <v>94.01231661084671</v>
      </c>
      <c r="F336" s="116">
        <v>93.913454788260907</v>
      </c>
    </row>
    <row r="337" spans="1:6" x14ac:dyDescent="0.25">
      <c r="A337" s="252">
        <f t="shared" si="4"/>
        <v>321</v>
      </c>
      <c r="B337" s="116">
        <v>101.78850809432423</v>
      </c>
      <c r="C337" s="116">
        <v>99.153671140356693</v>
      </c>
      <c r="D337" s="116">
        <v>96.350254594588492</v>
      </c>
      <c r="E337" s="116">
        <v>95.823534633647071</v>
      </c>
      <c r="F337" s="116">
        <v>91.972061809870766</v>
      </c>
    </row>
    <row r="338" spans="1:6" x14ac:dyDescent="0.25">
      <c r="A338" s="252">
        <f t="shared" si="4"/>
        <v>322</v>
      </c>
      <c r="B338" s="116">
        <v>102.34659164121086</v>
      </c>
      <c r="C338" s="116">
        <v>98.72611422185949</v>
      </c>
      <c r="D338" s="116">
        <v>95.315931701918274</v>
      </c>
      <c r="E338" s="116">
        <v>94.723508712091373</v>
      </c>
      <c r="F338" s="116">
        <v>92.845913037957175</v>
      </c>
    </row>
    <row r="339" spans="1:6" x14ac:dyDescent="0.25">
      <c r="A339" s="252">
        <f t="shared" ref="A339:A402" si="5">+A338+1</f>
        <v>323</v>
      </c>
      <c r="B339" s="116">
        <v>101.62596185630257</v>
      </c>
      <c r="C339" s="116">
        <v>99.54805839016089</v>
      </c>
      <c r="D339" s="116">
        <v>96.008332073013662</v>
      </c>
      <c r="E339" s="116">
        <v>94.596889278027092</v>
      </c>
      <c r="F339" s="116">
        <v>93.581484861248896</v>
      </c>
    </row>
    <row r="340" spans="1:6" x14ac:dyDescent="0.25">
      <c r="A340" s="252">
        <f t="shared" si="5"/>
        <v>324</v>
      </c>
      <c r="B340" s="116">
        <v>99.862887520849412</v>
      </c>
      <c r="C340" s="116">
        <v>96.976077854964188</v>
      </c>
      <c r="D340" s="116">
        <v>96.926126953420024</v>
      </c>
      <c r="E340" s="116">
        <v>94.666596431941883</v>
      </c>
      <c r="F340" s="116">
        <v>93.427784605553569</v>
      </c>
    </row>
    <row r="341" spans="1:6" x14ac:dyDescent="0.25">
      <c r="A341" s="252">
        <f t="shared" si="5"/>
        <v>325</v>
      </c>
      <c r="B341" s="116">
        <v>102.66664265259601</v>
      </c>
      <c r="C341" s="116">
        <v>99.294297040910067</v>
      </c>
      <c r="D341" s="116">
        <v>99.508777464634775</v>
      </c>
      <c r="E341" s="116">
        <v>95.124689115556791</v>
      </c>
      <c r="F341" s="116">
        <v>93.880510864509944</v>
      </c>
    </row>
    <row r="342" spans="1:6" x14ac:dyDescent="0.25">
      <c r="A342" s="252">
        <f t="shared" si="5"/>
        <v>326</v>
      </c>
      <c r="B342" s="116">
        <v>101.39849397365721</v>
      </c>
      <c r="C342" s="116">
        <v>102.02300224156431</v>
      </c>
      <c r="D342" s="116">
        <v>96.480633781471411</v>
      </c>
      <c r="E342" s="116">
        <v>95.046343680199371</v>
      </c>
      <c r="F342" s="116">
        <v>93.018638992134512</v>
      </c>
    </row>
    <row r="343" spans="1:6" x14ac:dyDescent="0.25">
      <c r="A343" s="252">
        <f t="shared" si="5"/>
        <v>327</v>
      </c>
      <c r="B343" s="116">
        <v>99.352318254787676</v>
      </c>
      <c r="C343" s="116">
        <v>99.897352054918329</v>
      </c>
      <c r="D343" s="116">
        <v>99.060954915002469</v>
      </c>
      <c r="E343" s="116">
        <v>95.996747067874551</v>
      </c>
      <c r="F343" s="116">
        <v>93.608029258871412</v>
      </c>
    </row>
    <row r="344" spans="1:6" x14ac:dyDescent="0.25">
      <c r="A344" s="252">
        <f t="shared" si="5"/>
        <v>328</v>
      </c>
      <c r="B344" s="116">
        <v>97.950548710992607</v>
      </c>
      <c r="C344" s="116">
        <v>101.77097651171812</v>
      </c>
      <c r="D344" s="116">
        <v>96.546958980632226</v>
      </c>
      <c r="E344" s="116">
        <v>93.803738723326148</v>
      </c>
      <c r="F344" s="116">
        <v>92.935329418495272</v>
      </c>
    </row>
    <row r="345" spans="1:6" x14ac:dyDescent="0.25">
      <c r="A345" s="252">
        <f t="shared" si="5"/>
        <v>329</v>
      </c>
      <c r="B345" s="116">
        <v>103.43544070542568</v>
      </c>
      <c r="C345" s="116">
        <v>99.807910691416708</v>
      </c>
      <c r="D345" s="116">
        <v>95.509758156638071</v>
      </c>
      <c r="E345" s="116">
        <v>94.605724542649398</v>
      </c>
      <c r="F345" s="116">
        <v>93.409402156904775</v>
      </c>
    </row>
    <row r="346" spans="1:6" x14ac:dyDescent="0.25">
      <c r="A346" s="252">
        <f t="shared" si="5"/>
        <v>330</v>
      </c>
      <c r="B346" s="116">
        <v>103.57804974358498</v>
      </c>
      <c r="C346" s="116">
        <v>99.623426770828019</v>
      </c>
      <c r="D346" s="116">
        <v>96.987907447277493</v>
      </c>
      <c r="E346" s="116">
        <v>95.338408441248731</v>
      </c>
      <c r="F346" s="116">
        <v>95.610829101273282</v>
      </c>
    </row>
    <row r="347" spans="1:6" x14ac:dyDescent="0.25">
      <c r="A347" s="252">
        <f t="shared" si="5"/>
        <v>331</v>
      </c>
      <c r="B347" s="116">
        <v>103.70220261974698</v>
      </c>
      <c r="C347" s="116">
        <v>102.09941218526281</v>
      </c>
      <c r="D347" s="116">
        <v>96.604650449810592</v>
      </c>
      <c r="E347" s="116">
        <v>94.723812569194152</v>
      </c>
      <c r="F347" s="116">
        <v>92.677140168421161</v>
      </c>
    </row>
    <row r="348" spans="1:6" x14ac:dyDescent="0.25">
      <c r="A348" s="252">
        <f t="shared" si="5"/>
        <v>332</v>
      </c>
      <c r="B348" s="116">
        <v>98.053882879491454</v>
      </c>
      <c r="C348" s="116">
        <v>97.431906249193787</v>
      </c>
      <c r="D348" s="116">
        <v>95.25497052413877</v>
      </c>
      <c r="E348" s="116">
        <v>94.560153082555402</v>
      </c>
      <c r="F348" s="116">
        <v>91.432096839324984</v>
      </c>
    </row>
    <row r="349" spans="1:6" x14ac:dyDescent="0.25">
      <c r="A349" s="252">
        <f t="shared" si="5"/>
        <v>333</v>
      </c>
      <c r="B349" s="116">
        <v>105.68110105932919</v>
      </c>
      <c r="C349" s="116">
        <v>100.71109067767311</v>
      </c>
      <c r="D349" s="116">
        <v>97.474863549213907</v>
      </c>
      <c r="E349" s="116">
        <v>94.034041046540892</v>
      </c>
      <c r="F349" s="116">
        <v>92.477665739135162</v>
      </c>
    </row>
    <row r="350" spans="1:6" x14ac:dyDescent="0.25">
      <c r="A350" s="252">
        <f t="shared" si="5"/>
        <v>334</v>
      </c>
      <c r="B350" s="116">
        <v>101.10079519757728</v>
      </c>
      <c r="C350" s="116">
        <v>99.884328256893539</v>
      </c>
      <c r="D350" s="116">
        <v>98.381788649705484</v>
      </c>
      <c r="E350" s="116">
        <v>97.005283622256073</v>
      </c>
      <c r="F350" s="116">
        <v>93.191764240447625</v>
      </c>
    </row>
    <row r="351" spans="1:6" x14ac:dyDescent="0.25">
      <c r="A351" s="252">
        <f t="shared" si="5"/>
        <v>335</v>
      </c>
      <c r="B351" s="116">
        <v>100.10038142316318</v>
      </c>
      <c r="C351" s="116">
        <v>97.85982049369926</v>
      </c>
      <c r="D351" s="116">
        <v>99.504193279242017</v>
      </c>
      <c r="E351" s="116">
        <v>93.057369268997988</v>
      </c>
      <c r="F351" s="116">
        <v>94.529622539000044</v>
      </c>
    </row>
    <row r="352" spans="1:6" x14ac:dyDescent="0.25">
      <c r="A352" s="252">
        <f t="shared" si="5"/>
        <v>336</v>
      </c>
      <c r="B352" s="116">
        <v>98.98440303224605</v>
      </c>
      <c r="C352" s="116">
        <v>98.480371279747558</v>
      </c>
      <c r="D352" s="116">
        <v>96.393319570448753</v>
      </c>
      <c r="E352" s="116">
        <v>94.589006001687963</v>
      </c>
      <c r="F352" s="116">
        <v>93.212065713242424</v>
      </c>
    </row>
    <row r="353" spans="1:6" x14ac:dyDescent="0.25">
      <c r="A353" s="252">
        <f t="shared" si="5"/>
        <v>337</v>
      </c>
      <c r="B353" s="116">
        <v>100.50909190578277</v>
      </c>
      <c r="C353" s="116">
        <v>101.42756273565921</v>
      </c>
      <c r="D353" s="116">
        <v>95.301015277755184</v>
      </c>
      <c r="E353" s="116">
        <v>94.902102983017016</v>
      </c>
      <c r="F353" s="116">
        <v>91.825889877764382</v>
      </c>
    </row>
    <row r="354" spans="1:6" x14ac:dyDescent="0.25">
      <c r="A354" s="252">
        <f t="shared" si="5"/>
        <v>338</v>
      </c>
      <c r="B354" s="116">
        <v>103.7722074276398</v>
      </c>
      <c r="C354" s="116">
        <v>99.634222230012568</v>
      </c>
      <c r="D354" s="116">
        <v>99.492739699812461</v>
      </c>
      <c r="E354" s="116">
        <v>94.985195988501687</v>
      </c>
      <c r="F354" s="116">
        <v>93.636870949731318</v>
      </c>
    </row>
    <row r="355" spans="1:6" x14ac:dyDescent="0.25">
      <c r="A355" s="252">
        <f t="shared" si="5"/>
        <v>339</v>
      </c>
      <c r="B355" s="116">
        <v>101.55224739134758</v>
      </c>
      <c r="C355" s="116">
        <v>98.291540417230152</v>
      </c>
      <c r="D355" s="116">
        <v>96.473545183112748</v>
      </c>
      <c r="E355" s="116">
        <v>95.023534577151779</v>
      </c>
      <c r="F355" s="116">
        <v>93.534398868861288</v>
      </c>
    </row>
    <row r="356" spans="1:6" x14ac:dyDescent="0.25">
      <c r="A356" s="252">
        <f t="shared" si="5"/>
        <v>340</v>
      </c>
      <c r="B356" s="116">
        <v>99.898897724761341</v>
      </c>
      <c r="C356" s="116">
        <v>98.955631821385879</v>
      </c>
      <c r="D356" s="116">
        <v>95.50529050538961</v>
      </c>
      <c r="E356" s="116">
        <v>95.973409220127323</v>
      </c>
      <c r="F356" s="116">
        <v>93.307905071610591</v>
      </c>
    </row>
    <row r="357" spans="1:6" x14ac:dyDescent="0.25">
      <c r="A357" s="252">
        <f t="shared" si="5"/>
        <v>341</v>
      </c>
      <c r="B357" s="116">
        <v>100.08606798074368</v>
      </c>
      <c r="C357" s="116">
        <v>98.214430123104549</v>
      </c>
      <c r="D357" s="116">
        <v>96.968876406849049</v>
      </c>
      <c r="E357" s="116">
        <v>94.455091577961753</v>
      </c>
      <c r="F357" s="116">
        <v>93.558334707766278</v>
      </c>
    </row>
    <row r="358" spans="1:6" x14ac:dyDescent="0.25">
      <c r="A358" s="252">
        <f t="shared" si="5"/>
        <v>342</v>
      </c>
      <c r="B358" s="116">
        <v>100.6960984746414</v>
      </c>
      <c r="C358" s="116">
        <v>101.21965054048219</v>
      </c>
      <c r="D358" s="116">
        <v>97.641788936128037</v>
      </c>
      <c r="E358" s="116">
        <v>96.046701857153394</v>
      </c>
      <c r="F358" s="116">
        <v>93.336605245641366</v>
      </c>
    </row>
    <row r="359" spans="1:6" x14ac:dyDescent="0.25">
      <c r="A359" s="252">
        <f t="shared" si="5"/>
        <v>343</v>
      </c>
      <c r="B359" s="116">
        <v>103.977101620339</v>
      </c>
      <c r="C359" s="116">
        <v>100.96294040696742</v>
      </c>
      <c r="D359" s="116">
        <v>95.781635443422971</v>
      </c>
      <c r="E359" s="116">
        <v>93.273042145699151</v>
      </c>
      <c r="F359" s="116">
        <v>94.451238035948563</v>
      </c>
    </row>
    <row r="360" spans="1:6" x14ac:dyDescent="0.25">
      <c r="A360" s="252">
        <f t="shared" si="5"/>
        <v>344</v>
      </c>
      <c r="B360" s="116">
        <v>99.621445483643129</v>
      </c>
      <c r="C360" s="116">
        <v>96.653806836166368</v>
      </c>
      <c r="D360" s="116">
        <v>99.41101866062067</v>
      </c>
      <c r="E360" s="116">
        <v>95.81341240269083</v>
      </c>
      <c r="F360" s="116">
        <v>93.466445716424914</v>
      </c>
    </row>
    <row r="361" spans="1:6" x14ac:dyDescent="0.25">
      <c r="A361" s="252">
        <f t="shared" si="5"/>
        <v>345</v>
      </c>
      <c r="B361" s="116">
        <v>99.447630508111544</v>
      </c>
      <c r="C361" s="116">
        <v>100.15953715947862</v>
      </c>
      <c r="D361" s="116">
        <v>98.335572023522943</v>
      </c>
      <c r="E361" s="116">
        <v>95.805041214859259</v>
      </c>
      <c r="F361" s="116">
        <v>93.690586384911697</v>
      </c>
    </row>
    <row r="362" spans="1:6" x14ac:dyDescent="0.25">
      <c r="A362" s="252">
        <f t="shared" si="5"/>
        <v>346</v>
      </c>
      <c r="B362" s="116">
        <v>101.90953539040437</v>
      </c>
      <c r="C362" s="116">
        <v>93.772301578428952</v>
      </c>
      <c r="D362" s="116">
        <v>95.813361476657434</v>
      </c>
      <c r="E362" s="116">
        <v>95.861292537586877</v>
      </c>
      <c r="F362" s="116">
        <v>93.108973582050965</v>
      </c>
    </row>
    <row r="363" spans="1:6" x14ac:dyDescent="0.25">
      <c r="A363" s="252">
        <f t="shared" si="5"/>
        <v>347</v>
      </c>
      <c r="B363" s="116">
        <v>103.29888876524062</v>
      </c>
      <c r="C363" s="116">
        <v>100.11543724496946</v>
      </c>
      <c r="D363" s="116">
        <v>96.767725756059875</v>
      </c>
      <c r="E363" s="116">
        <v>93.586460109076924</v>
      </c>
      <c r="F363" s="116">
        <v>92.620086867072644</v>
      </c>
    </row>
    <row r="364" spans="1:6" x14ac:dyDescent="0.25">
      <c r="A364" s="252">
        <f t="shared" si="5"/>
        <v>348</v>
      </c>
      <c r="B364" s="116">
        <v>103.15789856778269</v>
      </c>
      <c r="C364" s="116">
        <v>98.940818390843901</v>
      </c>
      <c r="D364" s="116">
        <v>97.380628941553041</v>
      </c>
      <c r="E364" s="116">
        <v>97.684540012284486</v>
      </c>
      <c r="F364" s="116">
        <v>94.170231994743617</v>
      </c>
    </row>
    <row r="365" spans="1:6" x14ac:dyDescent="0.25">
      <c r="A365" s="252">
        <f t="shared" si="5"/>
        <v>349</v>
      </c>
      <c r="B365" s="116">
        <v>101.1887693899956</v>
      </c>
      <c r="C365" s="116">
        <v>98.706844553032994</v>
      </c>
      <c r="D365" s="116">
        <v>97.73161023791603</v>
      </c>
      <c r="E365" s="116">
        <v>94.733482741969411</v>
      </c>
      <c r="F365" s="116">
        <v>93.76269073558187</v>
      </c>
    </row>
    <row r="366" spans="1:6" x14ac:dyDescent="0.25">
      <c r="A366" s="252">
        <f t="shared" si="5"/>
        <v>350</v>
      </c>
      <c r="B366" s="116">
        <v>102.18975019464114</v>
      </c>
      <c r="C366" s="116">
        <v>98.604307755558978</v>
      </c>
      <c r="D366" s="116">
        <v>96.253346862934762</v>
      </c>
      <c r="E366" s="116">
        <v>96.083635887761616</v>
      </c>
      <c r="F366" s="116">
        <v>94.021599404295529</v>
      </c>
    </row>
    <row r="367" spans="1:6" x14ac:dyDescent="0.25">
      <c r="A367" s="252">
        <f t="shared" si="5"/>
        <v>351</v>
      </c>
      <c r="B367" s="116">
        <v>101.19474175210227</v>
      </c>
      <c r="C367" s="116">
        <v>99.970760483566522</v>
      </c>
      <c r="D367" s="116">
        <v>95.603897235629617</v>
      </c>
      <c r="E367" s="116">
        <v>93.678175060612261</v>
      </c>
      <c r="F367" s="116">
        <v>92.552976366229402</v>
      </c>
    </row>
    <row r="368" spans="1:6" x14ac:dyDescent="0.25">
      <c r="A368" s="252">
        <f t="shared" si="5"/>
        <v>352</v>
      </c>
      <c r="B368" s="116">
        <v>102.09833685503513</v>
      </c>
      <c r="C368" s="116">
        <v>100.25429592715382</v>
      </c>
      <c r="D368" s="116">
        <v>96.801807205658505</v>
      </c>
      <c r="E368" s="116">
        <v>94.610779347359667</v>
      </c>
      <c r="F368" s="116">
        <v>92.927453622512729</v>
      </c>
    </row>
    <row r="369" spans="1:6" x14ac:dyDescent="0.25">
      <c r="A369" s="252">
        <f t="shared" si="5"/>
        <v>353</v>
      </c>
      <c r="B369" s="116">
        <v>104.01455980433141</v>
      </c>
      <c r="C369" s="116">
        <v>100.27898697543388</v>
      </c>
      <c r="D369" s="116">
        <v>95.371888471242656</v>
      </c>
      <c r="E369" s="116">
        <v>94.022386659079913</v>
      </c>
      <c r="F369" s="116">
        <v>93.01577345433364</v>
      </c>
    </row>
    <row r="370" spans="1:6" x14ac:dyDescent="0.25">
      <c r="A370" s="252">
        <f t="shared" si="5"/>
        <v>354</v>
      </c>
      <c r="B370" s="116">
        <v>101.8128062204897</v>
      </c>
      <c r="C370" s="116">
        <v>98.522152310592773</v>
      </c>
      <c r="D370" s="116">
        <v>97.804205373653403</v>
      </c>
      <c r="E370" s="116">
        <v>94.576075976591341</v>
      </c>
      <c r="F370" s="116">
        <v>92.34271031830427</v>
      </c>
    </row>
    <row r="371" spans="1:6" x14ac:dyDescent="0.25">
      <c r="A371" s="252">
        <f t="shared" si="5"/>
        <v>355</v>
      </c>
      <c r="B371" s="116">
        <v>104.14772197582424</v>
      </c>
      <c r="C371" s="116">
        <v>98.848816667792121</v>
      </c>
      <c r="D371" s="116">
        <v>95.694103311068176</v>
      </c>
      <c r="E371" s="116">
        <v>96.793529856889208</v>
      </c>
      <c r="F371" s="116">
        <v>93.236004235331791</v>
      </c>
    </row>
    <row r="372" spans="1:6" x14ac:dyDescent="0.25">
      <c r="A372" s="252">
        <f t="shared" si="5"/>
        <v>356</v>
      </c>
      <c r="B372" s="116">
        <v>100.40194421572899</v>
      </c>
      <c r="C372" s="116">
        <v>98.412413844956532</v>
      </c>
      <c r="D372" s="116">
        <v>96.537459784715665</v>
      </c>
      <c r="E372" s="116">
        <v>95.390085317714764</v>
      </c>
      <c r="F372" s="116">
        <v>93.274920141165197</v>
      </c>
    </row>
    <row r="373" spans="1:6" x14ac:dyDescent="0.25">
      <c r="A373" s="252">
        <f t="shared" si="5"/>
        <v>357</v>
      </c>
      <c r="B373" s="116">
        <v>98.754374533699675</v>
      </c>
      <c r="C373" s="116">
        <v>98.412301478627811</v>
      </c>
      <c r="D373" s="116">
        <v>96.940008730923196</v>
      </c>
      <c r="E373" s="116">
        <v>96.661039899870431</v>
      </c>
      <c r="F373" s="116">
        <v>93.491993651416735</v>
      </c>
    </row>
    <row r="374" spans="1:6" x14ac:dyDescent="0.25">
      <c r="A374" s="252">
        <f t="shared" si="5"/>
        <v>358</v>
      </c>
      <c r="B374" s="116">
        <v>107.09854782057793</v>
      </c>
      <c r="C374" s="116">
        <v>97.980551464417431</v>
      </c>
      <c r="D374" s="116">
        <v>94.450339436996543</v>
      </c>
      <c r="E374" s="116">
        <v>94.096522324149106</v>
      </c>
      <c r="F374" s="116">
        <v>94.200097449459705</v>
      </c>
    </row>
    <row r="375" spans="1:6" x14ac:dyDescent="0.25">
      <c r="A375" s="252">
        <f t="shared" si="5"/>
        <v>359</v>
      </c>
      <c r="B375" s="116">
        <v>100.27979777695869</v>
      </c>
      <c r="C375" s="116">
        <v>100.49748345657864</v>
      </c>
      <c r="D375" s="116">
        <v>95.030098857998723</v>
      </c>
      <c r="E375" s="116">
        <v>95.613691021840339</v>
      </c>
      <c r="F375" s="116">
        <v>91.944562306010596</v>
      </c>
    </row>
    <row r="376" spans="1:6" x14ac:dyDescent="0.25">
      <c r="A376" s="252">
        <f t="shared" si="5"/>
        <v>360</v>
      </c>
      <c r="B376" s="116">
        <v>101.39109941420583</v>
      </c>
      <c r="C376" s="116">
        <v>99.943492438201886</v>
      </c>
      <c r="D376" s="116">
        <v>97.926270671227797</v>
      </c>
      <c r="E376" s="116">
        <v>94.955635518841859</v>
      </c>
      <c r="F376" s="116">
        <v>92.763875893153553</v>
      </c>
    </row>
    <row r="377" spans="1:6" x14ac:dyDescent="0.25">
      <c r="A377" s="252">
        <f t="shared" si="5"/>
        <v>361</v>
      </c>
      <c r="B377" s="116">
        <v>105.79764987689526</v>
      </c>
      <c r="C377" s="116">
        <v>96.799342119078332</v>
      </c>
      <c r="D377" s="116">
        <v>97.264097870210747</v>
      </c>
      <c r="E377" s="116">
        <v>94.962892888231877</v>
      </c>
      <c r="F377" s="116">
        <v>94.742079779436537</v>
      </c>
    </row>
    <row r="378" spans="1:6" x14ac:dyDescent="0.25">
      <c r="A378" s="252">
        <f t="shared" si="5"/>
        <v>362</v>
      </c>
      <c r="B378" s="116">
        <v>99.053887990081463</v>
      </c>
      <c r="C378" s="116">
        <v>98.328368565603654</v>
      </c>
      <c r="D378" s="116">
        <v>95.841567023482824</v>
      </c>
      <c r="E378" s="116">
        <v>94.500804742978929</v>
      </c>
      <c r="F378" s="116">
        <v>93.212024218938922</v>
      </c>
    </row>
    <row r="379" spans="1:6" x14ac:dyDescent="0.25">
      <c r="A379" s="252">
        <f t="shared" si="5"/>
        <v>363</v>
      </c>
      <c r="B379" s="116">
        <v>103.80587561433646</v>
      </c>
      <c r="C379" s="116">
        <v>95.93504329829382</v>
      </c>
      <c r="D379" s="116">
        <v>97.561226292105601</v>
      </c>
      <c r="E379" s="116">
        <v>93.774619776283828</v>
      </c>
      <c r="F379" s="116">
        <v>93.657980871820101</v>
      </c>
    </row>
    <row r="380" spans="1:6" x14ac:dyDescent="0.25">
      <c r="A380" s="252">
        <f t="shared" si="5"/>
        <v>364</v>
      </c>
      <c r="B380" s="116">
        <v>102.70852573965118</v>
      </c>
      <c r="C380" s="116">
        <v>98.816782112041409</v>
      </c>
      <c r="D380" s="116">
        <v>97.338137360181378</v>
      </c>
      <c r="E380" s="116">
        <v>95.043208310550767</v>
      </c>
      <c r="F380" s="116">
        <v>92.354862519473386</v>
      </c>
    </row>
    <row r="381" spans="1:6" x14ac:dyDescent="0.25">
      <c r="A381" s="252">
        <f t="shared" si="5"/>
        <v>365</v>
      </c>
      <c r="B381" s="116">
        <v>99.553517054880444</v>
      </c>
      <c r="C381" s="116">
        <v>98.530467897368808</v>
      </c>
      <c r="D381" s="116">
        <v>94.962887963913388</v>
      </c>
      <c r="E381" s="116">
        <v>94.857989470478699</v>
      </c>
      <c r="F381" s="116">
        <v>93.854571924669344</v>
      </c>
    </row>
    <row r="382" spans="1:6" x14ac:dyDescent="0.25">
      <c r="A382" s="252">
        <f t="shared" si="5"/>
        <v>366</v>
      </c>
      <c r="B382" s="116">
        <v>100.50006640229545</v>
      </c>
      <c r="C382" s="116">
        <v>99.617630126490738</v>
      </c>
      <c r="D382" s="116">
        <v>96.24786829791438</v>
      </c>
      <c r="E382" s="116">
        <v>92.882649353481582</v>
      </c>
      <c r="F382" s="116">
        <v>93.260924267934769</v>
      </c>
    </row>
    <row r="383" spans="1:6" x14ac:dyDescent="0.25">
      <c r="A383" s="252">
        <f t="shared" si="5"/>
        <v>367</v>
      </c>
      <c r="B383" s="116">
        <v>103.15653150625467</v>
      </c>
      <c r="C383" s="116">
        <v>97.9038369668543</v>
      </c>
      <c r="D383" s="116">
        <v>96.192500541961024</v>
      </c>
      <c r="E383" s="116">
        <v>94.699066404504677</v>
      </c>
      <c r="F383" s="116">
        <v>93.492130870291078</v>
      </c>
    </row>
    <row r="384" spans="1:6" x14ac:dyDescent="0.25">
      <c r="A384" s="252">
        <f t="shared" si="5"/>
        <v>368</v>
      </c>
      <c r="B384" s="116">
        <v>103.60115000583173</v>
      </c>
      <c r="C384" s="116">
        <v>96.860195085521951</v>
      </c>
      <c r="D384" s="116">
        <v>97.978889180228705</v>
      </c>
      <c r="E384" s="116">
        <v>94.8657068670435</v>
      </c>
      <c r="F384" s="116">
        <v>93.812487129872935</v>
      </c>
    </row>
    <row r="385" spans="1:6" x14ac:dyDescent="0.25">
      <c r="A385" s="252">
        <f t="shared" si="5"/>
        <v>369</v>
      </c>
      <c r="B385" s="116">
        <v>103.90269208056472</v>
      </c>
      <c r="C385" s="116">
        <v>98.100116618607046</v>
      </c>
      <c r="D385" s="116">
        <v>96.699816667780539</v>
      </c>
      <c r="E385" s="116">
        <v>94.885096677763727</v>
      </c>
      <c r="F385" s="116">
        <v>93.124928857939622</v>
      </c>
    </row>
    <row r="386" spans="1:6" x14ac:dyDescent="0.25">
      <c r="A386" s="252">
        <f t="shared" si="5"/>
        <v>370</v>
      </c>
      <c r="B386" s="116">
        <v>103.871787907251</v>
      </c>
      <c r="C386" s="116">
        <v>97.092854517758113</v>
      </c>
      <c r="D386" s="116">
        <v>94.801873931696548</v>
      </c>
      <c r="E386" s="116">
        <v>95.097830887732229</v>
      </c>
      <c r="F386" s="116">
        <v>93.828942055590602</v>
      </c>
    </row>
    <row r="387" spans="1:6" x14ac:dyDescent="0.25">
      <c r="A387" s="252">
        <f t="shared" si="5"/>
        <v>371</v>
      </c>
      <c r="B387" s="116">
        <v>101.21259657516057</v>
      </c>
      <c r="C387" s="116">
        <v>98.470875704742966</v>
      </c>
      <c r="D387" s="116">
        <v>96.960122946647999</v>
      </c>
      <c r="E387" s="116">
        <v>94.002590018707537</v>
      </c>
      <c r="F387" s="116">
        <v>93.975790207481765</v>
      </c>
    </row>
    <row r="388" spans="1:6" x14ac:dyDescent="0.25">
      <c r="A388" s="252">
        <f t="shared" si="5"/>
        <v>372</v>
      </c>
      <c r="B388" s="116">
        <v>103.84961630362444</v>
      </c>
      <c r="C388" s="116">
        <v>101.46382794663113</v>
      </c>
      <c r="D388" s="116">
        <v>98.473088424773977</v>
      </c>
      <c r="E388" s="116">
        <v>95.226230680649579</v>
      </c>
      <c r="F388" s="116">
        <v>93.551678338469472</v>
      </c>
    </row>
    <row r="389" spans="1:6" x14ac:dyDescent="0.25">
      <c r="A389" s="252">
        <f t="shared" si="5"/>
        <v>373</v>
      </c>
      <c r="B389" s="116">
        <v>103.55305894981916</v>
      </c>
      <c r="C389" s="116">
        <v>100.19132699066904</v>
      </c>
      <c r="D389" s="116">
        <v>94.852902823567788</v>
      </c>
      <c r="E389" s="116">
        <v>92.922022529962263</v>
      </c>
      <c r="F389" s="116">
        <v>92.166759557841189</v>
      </c>
    </row>
    <row r="390" spans="1:6" x14ac:dyDescent="0.25">
      <c r="A390" s="252">
        <f t="shared" si="5"/>
        <v>374</v>
      </c>
      <c r="B390" s="116">
        <v>102.6677539472165</v>
      </c>
      <c r="C390" s="116">
        <v>98.945067364623156</v>
      </c>
      <c r="D390" s="116">
        <v>98.275030081902173</v>
      </c>
      <c r="E390" s="116">
        <v>95.556397293731109</v>
      </c>
      <c r="F390" s="116">
        <v>91.708293306793465</v>
      </c>
    </row>
    <row r="391" spans="1:6" x14ac:dyDescent="0.25">
      <c r="A391" s="252">
        <f t="shared" si="5"/>
        <v>375</v>
      </c>
      <c r="B391" s="116">
        <v>103.55497950945349</v>
      </c>
      <c r="C391" s="116">
        <v>99.112265891803318</v>
      </c>
      <c r="D391" s="116">
        <v>95.162298152713063</v>
      </c>
      <c r="E391" s="116">
        <v>92.322341972346251</v>
      </c>
      <c r="F391" s="116">
        <v>91.928174541546085</v>
      </c>
    </row>
    <row r="392" spans="1:6" x14ac:dyDescent="0.25">
      <c r="A392" s="252">
        <f t="shared" si="5"/>
        <v>376</v>
      </c>
      <c r="B392" s="116">
        <v>101.51423421089928</v>
      </c>
      <c r="C392" s="116">
        <v>99.147346045007922</v>
      </c>
      <c r="D392" s="116">
        <v>97.232979997364694</v>
      </c>
      <c r="E392" s="116">
        <v>93.535249368909902</v>
      </c>
      <c r="F392" s="116">
        <v>92.806364519818558</v>
      </c>
    </row>
    <row r="393" spans="1:6" x14ac:dyDescent="0.25">
      <c r="A393" s="252">
        <f t="shared" si="5"/>
        <v>377</v>
      </c>
      <c r="B393" s="116">
        <v>101.33378883627657</v>
      </c>
      <c r="C393" s="116">
        <v>97.668235771955139</v>
      </c>
      <c r="D393" s="116">
        <v>96.694476032642598</v>
      </c>
      <c r="E393" s="116">
        <v>94.834107031435607</v>
      </c>
      <c r="F393" s="116">
        <v>91.708143652891494</v>
      </c>
    </row>
    <row r="394" spans="1:6" x14ac:dyDescent="0.25">
      <c r="A394" s="252">
        <f t="shared" si="5"/>
        <v>378</v>
      </c>
      <c r="B394" s="116">
        <v>104.05166620067645</v>
      </c>
      <c r="C394" s="116">
        <v>99.447735339545474</v>
      </c>
      <c r="D394" s="116">
        <v>96.761003353656903</v>
      </c>
      <c r="E394" s="116">
        <v>96.34217357720857</v>
      </c>
      <c r="F394" s="116">
        <v>94.984432259281959</v>
      </c>
    </row>
    <row r="395" spans="1:6" x14ac:dyDescent="0.25">
      <c r="A395" s="252">
        <f t="shared" si="5"/>
        <v>379</v>
      </c>
      <c r="B395" s="116">
        <v>103.81855133854737</v>
      </c>
      <c r="C395" s="116">
        <v>98.239245962911411</v>
      </c>
      <c r="D395" s="116">
        <v>96.283586559681822</v>
      </c>
      <c r="E395" s="116">
        <v>94.89163936108946</v>
      </c>
      <c r="F395" s="116">
        <v>93.292922972031505</v>
      </c>
    </row>
    <row r="396" spans="1:6" x14ac:dyDescent="0.25">
      <c r="A396" s="252">
        <f t="shared" si="5"/>
        <v>380</v>
      </c>
      <c r="B396" s="116">
        <v>101.16419666984004</v>
      </c>
      <c r="C396" s="116">
        <v>100.11285755635602</v>
      </c>
      <c r="D396" s="116">
        <v>99.783320569612599</v>
      </c>
      <c r="E396" s="116">
        <v>95.080426910385739</v>
      </c>
      <c r="F396" s="116">
        <v>91.031422132715548</v>
      </c>
    </row>
    <row r="397" spans="1:6" x14ac:dyDescent="0.25">
      <c r="A397" s="252">
        <f t="shared" si="5"/>
        <v>381</v>
      </c>
      <c r="B397" s="116">
        <v>103.17474309908987</v>
      </c>
      <c r="C397" s="116">
        <v>98.961116027115338</v>
      </c>
      <c r="D397" s="116">
        <v>95.683159249233185</v>
      </c>
      <c r="E397" s="116">
        <v>95.991632486457334</v>
      </c>
      <c r="F397" s="116">
        <v>93.799012442005591</v>
      </c>
    </row>
    <row r="398" spans="1:6" x14ac:dyDescent="0.25">
      <c r="A398" s="252">
        <f t="shared" si="5"/>
        <v>382</v>
      </c>
      <c r="B398" s="116">
        <v>103.60612550403913</v>
      </c>
      <c r="C398" s="116">
        <v>98.929915191320589</v>
      </c>
      <c r="D398" s="116">
        <v>96.825543017776496</v>
      </c>
      <c r="E398" s="116">
        <v>97.655236071463335</v>
      </c>
      <c r="F398" s="116">
        <v>92.800697050802441</v>
      </c>
    </row>
    <row r="399" spans="1:6" x14ac:dyDescent="0.25">
      <c r="A399" s="252">
        <f t="shared" si="5"/>
        <v>383</v>
      </c>
      <c r="B399" s="116">
        <v>104.79212762527142</v>
      </c>
      <c r="C399" s="116">
        <v>100.43202845308141</v>
      </c>
      <c r="D399" s="116">
        <v>97.986523370886985</v>
      </c>
      <c r="E399" s="116">
        <v>95.138385078602653</v>
      </c>
      <c r="F399" s="116">
        <v>91.36677990633892</v>
      </c>
    </row>
    <row r="400" spans="1:6" x14ac:dyDescent="0.25">
      <c r="A400" s="252">
        <f t="shared" si="5"/>
        <v>384</v>
      </c>
      <c r="B400" s="116">
        <v>101.33058375316133</v>
      </c>
      <c r="C400" s="116">
        <v>98.163610464851203</v>
      </c>
      <c r="D400" s="116">
        <v>96.255565330219028</v>
      </c>
      <c r="E400" s="116">
        <v>93.566651732000892</v>
      </c>
      <c r="F400" s="116">
        <v>93.069860311633533</v>
      </c>
    </row>
    <row r="401" spans="1:6" x14ac:dyDescent="0.25">
      <c r="A401" s="252">
        <f t="shared" si="5"/>
        <v>385</v>
      </c>
      <c r="B401" s="116">
        <v>102.56869719513855</v>
      </c>
      <c r="C401" s="116">
        <v>100.03292142618733</v>
      </c>
      <c r="D401" s="116">
        <v>95.496998498567507</v>
      </c>
      <c r="E401" s="116">
        <v>95.44936299999749</v>
      </c>
      <c r="F401" s="116">
        <v>93.705863397033411</v>
      </c>
    </row>
    <row r="402" spans="1:6" x14ac:dyDescent="0.25">
      <c r="A402" s="252">
        <f t="shared" si="5"/>
        <v>386</v>
      </c>
      <c r="B402" s="116">
        <v>101.39156382879477</v>
      </c>
      <c r="C402" s="116">
        <v>98.47870407706931</v>
      </c>
      <c r="D402" s="116">
        <v>99.574972965562409</v>
      </c>
      <c r="E402" s="116">
        <v>95.156825800044118</v>
      </c>
      <c r="F402" s="116">
        <v>93.395383597136927</v>
      </c>
    </row>
    <row r="403" spans="1:6" x14ac:dyDescent="0.25">
      <c r="A403" s="252">
        <f t="shared" ref="A403:A466" si="6">+A402+1</f>
        <v>387</v>
      </c>
      <c r="B403" s="116">
        <v>103.42038125938522</v>
      </c>
      <c r="C403" s="116">
        <v>97.958870037838523</v>
      </c>
      <c r="D403" s="116">
        <v>97.590651177038509</v>
      </c>
      <c r="E403" s="116">
        <v>95.432770592233098</v>
      </c>
      <c r="F403" s="116">
        <v>94.078160732666774</v>
      </c>
    </row>
    <row r="404" spans="1:6" x14ac:dyDescent="0.25">
      <c r="A404" s="252">
        <f t="shared" si="6"/>
        <v>388</v>
      </c>
      <c r="B404" s="116">
        <v>98.018528214913417</v>
      </c>
      <c r="C404" s="116">
        <v>98.486877145650652</v>
      </c>
      <c r="D404" s="116">
        <v>96.834706952518971</v>
      </c>
      <c r="E404" s="116">
        <v>95.645997075874178</v>
      </c>
      <c r="F404" s="116">
        <v>94.711187311491528</v>
      </c>
    </row>
    <row r="405" spans="1:6" x14ac:dyDescent="0.25">
      <c r="A405" s="252">
        <f t="shared" si="6"/>
        <v>389</v>
      </c>
      <c r="B405" s="116">
        <v>102.60546309561947</v>
      </c>
      <c r="C405" s="116">
        <v>101.81979806891188</v>
      </c>
      <c r="D405" s="116">
        <v>96.344297416754898</v>
      </c>
      <c r="E405" s="116">
        <v>94.55355879456539</v>
      </c>
      <c r="F405" s="116">
        <v>95.342537013596797</v>
      </c>
    </row>
    <row r="406" spans="1:6" x14ac:dyDescent="0.25">
      <c r="A406" s="252">
        <f t="shared" si="6"/>
        <v>390</v>
      </c>
      <c r="B406" s="116">
        <v>103.74795512417035</v>
      </c>
      <c r="C406" s="116">
        <v>98.608650104523861</v>
      </c>
      <c r="D406" s="116">
        <v>96.145910580721377</v>
      </c>
      <c r="E406" s="116">
        <v>95.613510112816698</v>
      </c>
      <c r="F406" s="116">
        <v>94.093610790424449</v>
      </c>
    </row>
    <row r="407" spans="1:6" x14ac:dyDescent="0.25">
      <c r="A407" s="252">
        <f t="shared" si="6"/>
        <v>391</v>
      </c>
      <c r="B407" s="116">
        <v>102.99796790162483</v>
      </c>
      <c r="C407" s="116">
        <v>100.44966979711219</v>
      </c>
      <c r="D407" s="116">
        <v>97.450349887247583</v>
      </c>
      <c r="E407" s="116">
        <v>94.261800901701093</v>
      </c>
      <c r="F407" s="116">
        <v>93.302462696323715</v>
      </c>
    </row>
    <row r="408" spans="1:6" x14ac:dyDescent="0.25">
      <c r="A408" s="252">
        <f t="shared" si="6"/>
        <v>392</v>
      </c>
      <c r="B408" s="116">
        <v>103.32237780445199</v>
      </c>
      <c r="C408" s="116">
        <v>96.277394767623107</v>
      </c>
      <c r="D408" s="116">
        <v>94.580525874171485</v>
      </c>
      <c r="E408" s="116">
        <v>94.531626451397415</v>
      </c>
      <c r="F408" s="116">
        <v>93.456370300627682</v>
      </c>
    </row>
    <row r="409" spans="1:6" x14ac:dyDescent="0.25">
      <c r="A409" s="252">
        <f t="shared" si="6"/>
        <v>393</v>
      </c>
      <c r="B409" s="116">
        <v>102.88348215153317</v>
      </c>
      <c r="C409" s="116">
        <v>97.447041326749897</v>
      </c>
      <c r="D409" s="116">
        <v>94.419211605110988</v>
      </c>
      <c r="E409" s="116">
        <v>94.509535006102055</v>
      </c>
      <c r="F409" s="116">
        <v>92.401075756515596</v>
      </c>
    </row>
    <row r="410" spans="1:6" x14ac:dyDescent="0.25">
      <c r="A410" s="252">
        <f t="shared" si="6"/>
        <v>394</v>
      </c>
      <c r="B410" s="116">
        <v>105.39517225817757</v>
      </c>
      <c r="C410" s="116">
        <v>99.307797306685146</v>
      </c>
      <c r="D410" s="116">
        <v>97.039349372247784</v>
      </c>
      <c r="E410" s="116">
        <v>93.947241530193295</v>
      </c>
      <c r="F410" s="116">
        <v>93.679849279219837</v>
      </c>
    </row>
    <row r="411" spans="1:6" x14ac:dyDescent="0.25">
      <c r="A411" s="252">
        <f t="shared" si="6"/>
        <v>395</v>
      </c>
      <c r="B411" s="116">
        <v>103.37224922056417</v>
      </c>
      <c r="C411" s="116">
        <v>95.360058368616762</v>
      </c>
      <c r="D411" s="116">
        <v>96.318308816904079</v>
      </c>
      <c r="E411" s="116">
        <v>95.78935414292566</v>
      </c>
      <c r="F411" s="116">
        <v>93.20858351440576</v>
      </c>
    </row>
    <row r="412" spans="1:6" x14ac:dyDescent="0.25">
      <c r="A412" s="252">
        <f t="shared" si="6"/>
        <v>396</v>
      </c>
      <c r="B412" s="116">
        <v>107.37376207054794</v>
      </c>
      <c r="C412" s="116">
        <v>97.649169389997098</v>
      </c>
      <c r="D412" s="116">
        <v>99.229088260564708</v>
      </c>
      <c r="E412" s="116">
        <v>94.671929387716133</v>
      </c>
      <c r="F412" s="116">
        <v>92.835080675689298</v>
      </c>
    </row>
    <row r="413" spans="1:6" x14ac:dyDescent="0.25">
      <c r="A413" s="252">
        <f t="shared" si="6"/>
        <v>397</v>
      </c>
      <c r="B413" s="116">
        <v>104.25871574601072</v>
      </c>
      <c r="C413" s="116">
        <v>98.175235515439127</v>
      </c>
      <c r="D413" s="116">
        <v>97.355467414688249</v>
      </c>
      <c r="E413" s="116">
        <v>94.804748531138998</v>
      </c>
      <c r="F413" s="116">
        <v>92.611268824952987</v>
      </c>
    </row>
    <row r="414" spans="1:6" x14ac:dyDescent="0.25">
      <c r="A414" s="252">
        <f t="shared" si="6"/>
        <v>398</v>
      </c>
      <c r="B414" s="116">
        <v>105.37512571777943</v>
      </c>
      <c r="C414" s="116">
        <v>95.472870637244071</v>
      </c>
      <c r="D414" s="116">
        <v>96.817613724976823</v>
      </c>
      <c r="E414" s="116">
        <v>95.943241470883024</v>
      </c>
      <c r="F414" s="116">
        <v>90.967181005727042</v>
      </c>
    </row>
    <row r="415" spans="1:6" x14ac:dyDescent="0.25">
      <c r="A415" s="252">
        <f t="shared" si="6"/>
        <v>399</v>
      </c>
      <c r="B415" s="116">
        <v>99.744505062775701</v>
      </c>
      <c r="C415" s="116">
        <v>96.171783888328335</v>
      </c>
      <c r="D415" s="116">
        <v>96.240608390009356</v>
      </c>
      <c r="E415" s="116">
        <v>94.723915824126948</v>
      </c>
      <c r="F415" s="116">
        <v>93.042501036772151</v>
      </c>
    </row>
    <row r="416" spans="1:6" x14ac:dyDescent="0.25">
      <c r="A416" s="252">
        <f t="shared" si="6"/>
        <v>400</v>
      </c>
      <c r="B416" s="116">
        <v>100.32426228383854</v>
      </c>
      <c r="C416" s="116">
        <v>99.211836826881566</v>
      </c>
      <c r="D416" s="116">
        <v>98.268443686402435</v>
      </c>
      <c r="E416" s="116">
        <v>95.387969535770381</v>
      </c>
      <c r="F416" s="116">
        <v>92.637110484768812</v>
      </c>
    </row>
    <row r="417" spans="1:6" x14ac:dyDescent="0.25">
      <c r="A417" s="252">
        <f t="shared" si="6"/>
        <v>401</v>
      </c>
      <c r="B417" s="116">
        <v>103.57218323356581</v>
      </c>
      <c r="C417" s="116">
        <v>98.264658781326645</v>
      </c>
      <c r="D417" s="116">
        <v>99.361995050106245</v>
      </c>
      <c r="E417" s="116">
        <v>95.726504382089118</v>
      </c>
      <c r="F417" s="116">
        <v>92.967081073510386</v>
      </c>
    </row>
    <row r="418" spans="1:6" x14ac:dyDescent="0.25">
      <c r="A418" s="252">
        <f t="shared" si="6"/>
        <v>402</v>
      </c>
      <c r="B418" s="116">
        <v>101.84495501215257</v>
      </c>
      <c r="C418" s="116">
        <v>95.698209033487345</v>
      </c>
      <c r="D418" s="116">
        <v>96.089717683741227</v>
      </c>
      <c r="E418" s="116">
        <v>95.918042676323211</v>
      </c>
      <c r="F418" s="116">
        <v>92.181960580235724</v>
      </c>
    </row>
    <row r="419" spans="1:6" x14ac:dyDescent="0.25">
      <c r="A419" s="252">
        <f t="shared" si="6"/>
        <v>403</v>
      </c>
      <c r="B419" s="116">
        <v>102.96144981866705</v>
      </c>
      <c r="C419" s="116">
        <v>102.55295480936307</v>
      </c>
      <c r="D419" s="116">
        <v>99.229324357318546</v>
      </c>
      <c r="E419" s="116">
        <v>95.224402667189807</v>
      </c>
      <c r="F419" s="116">
        <v>94.637389571329422</v>
      </c>
    </row>
    <row r="420" spans="1:6" x14ac:dyDescent="0.25">
      <c r="A420" s="252">
        <f t="shared" si="6"/>
        <v>404</v>
      </c>
      <c r="B420" s="116">
        <v>101.61630844951367</v>
      </c>
      <c r="C420" s="116">
        <v>100.23122107207797</v>
      </c>
      <c r="D420" s="116">
        <v>96.322402562078764</v>
      </c>
      <c r="E420" s="116">
        <v>95.232408533214681</v>
      </c>
      <c r="F420" s="116">
        <v>93.812373860695956</v>
      </c>
    </row>
    <row r="421" spans="1:6" x14ac:dyDescent="0.25">
      <c r="A421" s="252">
        <f t="shared" si="6"/>
        <v>405</v>
      </c>
      <c r="B421" s="116">
        <v>102.0121925749928</v>
      </c>
      <c r="C421" s="116">
        <v>99.162768841795412</v>
      </c>
      <c r="D421" s="116">
        <v>99.779587086431533</v>
      </c>
      <c r="E421" s="116">
        <v>96.939525530314313</v>
      </c>
      <c r="F421" s="116">
        <v>92.241754016345851</v>
      </c>
    </row>
    <row r="422" spans="1:6" x14ac:dyDescent="0.25">
      <c r="A422" s="252">
        <f t="shared" si="6"/>
        <v>406</v>
      </c>
      <c r="B422" s="116">
        <v>102.71513330105883</v>
      </c>
      <c r="C422" s="116">
        <v>99.61164937441545</v>
      </c>
      <c r="D422" s="116">
        <v>97.924745078606222</v>
      </c>
      <c r="E422" s="116">
        <v>94.535132435659719</v>
      </c>
      <c r="F422" s="116">
        <v>90.660191314529925</v>
      </c>
    </row>
    <row r="423" spans="1:6" x14ac:dyDescent="0.25">
      <c r="A423" s="252">
        <f t="shared" si="6"/>
        <v>407</v>
      </c>
      <c r="B423" s="116">
        <v>101.95405131049135</v>
      </c>
      <c r="C423" s="116">
        <v>100.11585033287068</v>
      </c>
      <c r="D423" s="116">
        <v>95.375087469791453</v>
      </c>
      <c r="E423" s="116">
        <v>93.747318687363531</v>
      </c>
      <c r="F423" s="116">
        <v>93.084532983854814</v>
      </c>
    </row>
    <row r="424" spans="1:6" x14ac:dyDescent="0.25">
      <c r="A424" s="252">
        <f t="shared" si="6"/>
        <v>408</v>
      </c>
      <c r="B424" s="116">
        <v>101.64635350507291</v>
      </c>
      <c r="C424" s="116">
        <v>96.230646373770398</v>
      </c>
      <c r="D424" s="116">
        <v>97.555572357016601</v>
      </c>
      <c r="E424" s="116">
        <v>95.262124790512999</v>
      </c>
      <c r="F424" s="116">
        <v>93.885261805962159</v>
      </c>
    </row>
    <row r="425" spans="1:6" x14ac:dyDescent="0.25">
      <c r="A425" s="252">
        <f t="shared" si="6"/>
        <v>409</v>
      </c>
      <c r="B425" s="116">
        <v>102.15948870972197</v>
      </c>
      <c r="C425" s="116">
        <v>98.147141436781567</v>
      </c>
      <c r="D425" s="116">
        <v>97.469609020372843</v>
      </c>
      <c r="E425" s="116">
        <v>94.077323886035359</v>
      </c>
      <c r="F425" s="116">
        <v>92.012743625274467</v>
      </c>
    </row>
    <row r="426" spans="1:6" x14ac:dyDescent="0.25">
      <c r="A426" s="252">
        <f t="shared" si="6"/>
        <v>410</v>
      </c>
      <c r="B426" s="116">
        <v>101.95512707620567</v>
      </c>
      <c r="C426" s="116">
        <v>98.537254913485867</v>
      </c>
      <c r="D426" s="116">
        <v>99.262268552019492</v>
      </c>
      <c r="E426" s="116">
        <v>95.562267811053999</v>
      </c>
      <c r="F426" s="116">
        <v>90.725762446100248</v>
      </c>
    </row>
    <row r="427" spans="1:6" x14ac:dyDescent="0.25">
      <c r="A427" s="252">
        <f t="shared" si="6"/>
        <v>411</v>
      </c>
      <c r="B427" s="116">
        <v>100.14381102973653</v>
      </c>
      <c r="C427" s="116">
        <v>96.706700144384513</v>
      </c>
      <c r="D427" s="116">
        <v>96.406416223217718</v>
      </c>
      <c r="E427" s="116">
        <v>95.928690613146401</v>
      </c>
      <c r="F427" s="116">
        <v>94.188419022963444</v>
      </c>
    </row>
    <row r="428" spans="1:6" x14ac:dyDescent="0.25">
      <c r="A428" s="252">
        <f t="shared" si="6"/>
        <v>412</v>
      </c>
      <c r="B428" s="116">
        <v>102.573939249505</v>
      </c>
      <c r="C428" s="116">
        <v>101.87163769084916</v>
      </c>
      <c r="D428" s="116">
        <v>97.261292567186885</v>
      </c>
      <c r="E428" s="116">
        <v>94.987325887652048</v>
      </c>
      <c r="F428" s="116">
        <v>93.787359903508118</v>
      </c>
    </row>
    <row r="429" spans="1:6" x14ac:dyDescent="0.25">
      <c r="A429" s="252">
        <f t="shared" si="6"/>
        <v>413</v>
      </c>
      <c r="B429" s="116">
        <v>105.07095916377742</v>
      </c>
      <c r="C429" s="116">
        <v>98.457824163961334</v>
      </c>
      <c r="D429" s="116">
        <v>96.259324787333028</v>
      </c>
      <c r="E429" s="116">
        <v>96.570094912867845</v>
      </c>
      <c r="F429" s="116">
        <v>94.386166183700979</v>
      </c>
    </row>
    <row r="430" spans="1:6" x14ac:dyDescent="0.25">
      <c r="A430" s="252">
        <f t="shared" si="6"/>
        <v>414</v>
      </c>
      <c r="B430" s="116">
        <v>102.25767171187699</v>
      </c>
      <c r="C430" s="116">
        <v>99.11476935448286</v>
      </c>
      <c r="D430" s="116">
        <v>96.155954265383244</v>
      </c>
      <c r="E430" s="116">
        <v>95.864521674990883</v>
      </c>
      <c r="F430" s="116">
        <v>91.285288790297344</v>
      </c>
    </row>
    <row r="431" spans="1:6" x14ac:dyDescent="0.25">
      <c r="A431" s="252">
        <f t="shared" si="6"/>
        <v>415</v>
      </c>
      <c r="B431" s="116">
        <v>103.62853791015404</v>
      </c>
      <c r="C431" s="116">
        <v>98.253979918437238</v>
      </c>
      <c r="D431" s="116">
        <v>97.179411092854153</v>
      </c>
      <c r="E431" s="116">
        <v>98.399870338307593</v>
      </c>
      <c r="F431" s="116">
        <v>93.561001461760057</v>
      </c>
    </row>
    <row r="432" spans="1:6" x14ac:dyDescent="0.25">
      <c r="A432" s="252">
        <f t="shared" si="6"/>
        <v>416</v>
      </c>
      <c r="B432" s="116">
        <v>99.782057375576784</v>
      </c>
      <c r="C432" s="116">
        <v>98.948178435333929</v>
      </c>
      <c r="D432" s="116">
        <v>98.491473577557542</v>
      </c>
      <c r="E432" s="116">
        <v>96.967558608036953</v>
      </c>
      <c r="F432" s="116">
        <v>92.021776024020525</v>
      </c>
    </row>
    <row r="433" spans="1:6" x14ac:dyDescent="0.25">
      <c r="A433" s="252">
        <f t="shared" si="6"/>
        <v>417</v>
      </c>
      <c r="B433" s="116">
        <v>100.11538926124763</v>
      </c>
      <c r="C433" s="116">
        <v>100.78133099822695</v>
      </c>
      <c r="D433" s="116">
        <v>96.767955552652268</v>
      </c>
      <c r="E433" s="116">
        <v>95.623429313959605</v>
      </c>
      <c r="F433" s="116">
        <v>94.058413372385004</v>
      </c>
    </row>
    <row r="434" spans="1:6" x14ac:dyDescent="0.25">
      <c r="A434" s="252">
        <f t="shared" si="6"/>
        <v>418</v>
      </c>
      <c r="B434" s="116">
        <v>102.4522789991972</v>
      </c>
      <c r="C434" s="116">
        <v>97.766069393078482</v>
      </c>
      <c r="D434" s="116">
        <v>96.730221762978815</v>
      </c>
      <c r="E434" s="116">
        <v>97.914618584441271</v>
      </c>
      <c r="F434" s="116">
        <v>92.591420830693153</v>
      </c>
    </row>
    <row r="435" spans="1:6" x14ac:dyDescent="0.25">
      <c r="A435" s="252">
        <f t="shared" si="6"/>
        <v>419</v>
      </c>
      <c r="B435" s="116">
        <v>104.22075649248687</v>
      </c>
      <c r="C435" s="116">
        <v>98.871167663954679</v>
      </c>
      <c r="D435" s="116">
        <v>98.232044201095988</v>
      </c>
      <c r="E435" s="116">
        <v>96.307684850326183</v>
      </c>
      <c r="F435" s="116">
        <v>93.187005452976223</v>
      </c>
    </row>
    <row r="436" spans="1:6" x14ac:dyDescent="0.25">
      <c r="A436" s="252">
        <f t="shared" si="6"/>
        <v>420</v>
      </c>
      <c r="B436" s="116">
        <v>102.62256261748364</v>
      </c>
      <c r="C436" s="116">
        <v>98.065654124192761</v>
      </c>
      <c r="D436" s="116">
        <v>96.147870051732198</v>
      </c>
      <c r="E436" s="116">
        <v>94.806895607169096</v>
      </c>
      <c r="F436" s="116">
        <v>91.385926032921674</v>
      </c>
    </row>
    <row r="437" spans="1:6" x14ac:dyDescent="0.25">
      <c r="A437" s="252">
        <f t="shared" si="6"/>
        <v>421</v>
      </c>
      <c r="B437" s="116">
        <v>101.92277771221218</v>
      </c>
      <c r="C437" s="116">
        <v>97.7109364766456</v>
      </c>
      <c r="D437" s="116">
        <v>94.823318044647081</v>
      </c>
      <c r="E437" s="116">
        <v>96.445848442632652</v>
      </c>
      <c r="F437" s="116">
        <v>92.979109228241541</v>
      </c>
    </row>
    <row r="438" spans="1:6" x14ac:dyDescent="0.25">
      <c r="A438" s="252">
        <f t="shared" si="6"/>
        <v>422</v>
      </c>
      <c r="B438" s="116">
        <v>102.00828497256678</v>
      </c>
      <c r="C438" s="116">
        <v>100.10557317399031</v>
      </c>
      <c r="D438" s="116">
        <v>96.4814809151693</v>
      </c>
      <c r="E438" s="116">
        <v>93.27751279548157</v>
      </c>
      <c r="F438" s="116">
        <v>92.437202194710594</v>
      </c>
    </row>
    <row r="439" spans="1:6" x14ac:dyDescent="0.25">
      <c r="A439" s="252">
        <f t="shared" si="6"/>
        <v>423</v>
      </c>
      <c r="B439" s="116">
        <v>104.5369020608656</v>
      </c>
      <c r="C439" s="116">
        <v>96.870214483950889</v>
      </c>
      <c r="D439" s="116">
        <v>98.112632110063672</v>
      </c>
      <c r="E439" s="116">
        <v>96.178525024980303</v>
      </c>
      <c r="F439" s="116">
        <v>94.065551152770425</v>
      </c>
    </row>
    <row r="440" spans="1:6" x14ac:dyDescent="0.25">
      <c r="A440" s="252">
        <f t="shared" si="6"/>
        <v>424</v>
      </c>
      <c r="B440" s="116">
        <v>99.389024332037053</v>
      </c>
      <c r="C440" s="116">
        <v>98.433402448568785</v>
      </c>
      <c r="D440" s="116">
        <v>100.62022011016914</v>
      </c>
      <c r="E440" s="116">
        <v>95.216783122626524</v>
      </c>
      <c r="F440" s="116">
        <v>93.69372700193135</v>
      </c>
    </row>
    <row r="441" spans="1:6" x14ac:dyDescent="0.25">
      <c r="A441" s="252">
        <f t="shared" si="6"/>
        <v>425</v>
      </c>
      <c r="B441" s="116">
        <v>102.48081796858955</v>
      </c>
      <c r="C441" s="116">
        <v>98.723280341906246</v>
      </c>
      <c r="D441" s="116">
        <v>94.888845527669034</v>
      </c>
      <c r="E441" s="116">
        <v>95.92899279162782</v>
      </c>
      <c r="F441" s="116">
        <v>92.312888003171935</v>
      </c>
    </row>
    <row r="442" spans="1:6" x14ac:dyDescent="0.25">
      <c r="A442" s="252">
        <f t="shared" si="6"/>
        <v>426</v>
      </c>
      <c r="B442" s="116">
        <v>99.156788309306677</v>
      </c>
      <c r="C442" s="116">
        <v>101.48146659140585</v>
      </c>
      <c r="D442" s="116">
        <v>98.922621659625179</v>
      </c>
      <c r="E442" s="116">
        <v>94.759340460741541</v>
      </c>
      <c r="F442" s="116">
        <v>93.077694608396087</v>
      </c>
    </row>
    <row r="443" spans="1:6" x14ac:dyDescent="0.25">
      <c r="A443" s="252">
        <f t="shared" si="6"/>
        <v>427</v>
      </c>
      <c r="B443" s="116">
        <v>103.06871561428282</v>
      </c>
      <c r="C443" s="116">
        <v>101.79808043261937</v>
      </c>
      <c r="D443" s="116">
        <v>93.52981593795748</v>
      </c>
      <c r="E443" s="116">
        <v>95.408933656833128</v>
      </c>
      <c r="F443" s="116">
        <v>93.764768052595727</v>
      </c>
    </row>
    <row r="444" spans="1:6" x14ac:dyDescent="0.25">
      <c r="A444" s="252">
        <f t="shared" si="6"/>
        <v>428</v>
      </c>
      <c r="B444" s="116">
        <v>98.706425123437015</v>
      </c>
      <c r="C444" s="116">
        <v>99.47896795239329</v>
      </c>
      <c r="D444" s="116">
        <v>97.496805525491169</v>
      </c>
      <c r="E444" s="116">
        <v>96.418762554268056</v>
      </c>
      <c r="F444" s="116">
        <v>92.171740680939976</v>
      </c>
    </row>
    <row r="445" spans="1:6" x14ac:dyDescent="0.25">
      <c r="A445" s="252">
        <f t="shared" si="6"/>
        <v>429</v>
      </c>
      <c r="B445" s="116">
        <v>102.58297007247334</v>
      </c>
      <c r="C445" s="116">
        <v>98.836584525902026</v>
      </c>
      <c r="D445" s="116">
        <v>95.329852720606951</v>
      </c>
      <c r="E445" s="116">
        <v>96.497882332801638</v>
      </c>
      <c r="F445" s="116">
        <v>91.499902046120312</v>
      </c>
    </row>
    <row r="446" spans="1:6" x14ac:dyDescent="0.25">
      <c r="A446" s="252">
        <f t="shared" si="6"/>
        <v>430</v>
      </c>
      <c r="B446" s="116">
        <v>102.37022089593721</v>
      </c>
      <c r="C446" s="116">
        <v>100.1053933190276</v>
      </c>
      <c r="D446" s="116">
        <v>95.456357612020469</v>
      </c>
      <c r="E446" s="116">
        <v>94.197399938344262</v>
      </c>
      <c r="F446" s="116">
        <v>91.521296760444599</v>
      </c>
    </row>
    <row r="447" spans="1:6" x14ac:dyDescent="0.25">
      <c r="A447" s="252">
        <f t="shared" si="6"/>
        <v>431</v>
      </c>
      <c r="B447" s="116">
        <v>100.19700889036945</v>
      </c>
      <c r="C447" s="116">
        <v>100.06175584485263</v>
      </c>
      <c r="D447" s="116">
        <v>97.45171487576944</v>
      </c>
      <c r="E447" s="116">
        <v>96.228102863658236</v>
      </c>
      <c r="F447" s="116">
        <v>94.139551223692038</v>
      </c>
    </row>
    <row r="448" spans="1:6" x14ac:dyDescent="0.25">
      <c r="A448" s="252">
        <f t="shared" si="6"/>
        <v>432</v>
      </c>
      <c r="B448" s="116">
        <v>102.29180186974394</v>
      </c>
      <c r="C448" s="116">
        <v>99.953698405047561</v>
      </c>
      <c r="D448" s="116">
        <v>96.622872864947695</v>
      </c>
      <c r="E448" s="116">
        <v>95.191992524763222</v>
      </c>
      <c r="F448" s="116">
        <v>92.784061312590595</v>
      </c>
    </row>
    <row r="449" spans="1:6" x14ac:dyDescent="0.25">
      <c r="A449" s="252">
        <f t="shared" si="6"/>
        <v>433</v>
      </c>
      <c r="B449" s="116">
        <v>103.19751123735359</v>
      </c>
      <c r="C449" s="116">
        <v>100.1456906929146</v>
      </c>
      <c r="D449" s="116">
        <v>99.477516237560963</v>
      </c>
      <c r="E449" s="116">
        <v>94.83405094542448</v>
      </c>
      <c r="F449" s="116">
        <v>92.127808115361589</v>
      </c>
    </row>
    <row r="450" spans="1:6" x14ac:dyDescent="0.25">
      <c r="A450" s="252">
        <f t="shared" si="6"/>
        <v>434</v>
      </c>
      <c r="B450" s="116">
        <v>103.2641137504684</v>
      </c>
      <c r="C450" s="116">
        <v>98.593886122370648</v>
      </c>
      <c r="D450" s="116">
        <v>96.651797065663573</v>
      </c>
      <c r="E450" s="116">
        <v>95.960773761346587</v>
      </c>
      <c r="F450" s="116">
        <v>94.124729815321871</v>
      </c>
    </row>
    <row r="451" spans="1:6" x14ac:dyDescent="0.25">
      <c r="A451" s="252">
        <f t="shared" si="6"/>
        <v>435</v>
      </c>
      <c r="B451" s="116">
        <v>101.55785264045673</v>
      </c>
      <c r="C451" s="116">
        <v>98.297736548324835</v>
      </c>
      <c r="D451" s="116">
        <v>97.98633308899791</v>
      </c>
      <c r="E451" s="116">
        <v>95.374603331300889</v>
      </c>
      <c r="F451" s="116">
        <v>92.312015202167942</v>
      </c>
    </row>
    <row r="452" spans="1:6" x14ac:dyDescent="0.25">
      <c r="A452" s="252">
        <f t="shared" si="6"/>
        <v>436</v>
      </c>
      <c r="B452" s="116">
        <v>100.26396135768684</v>
      </c>
      <c r="C452" s="116">
        <v>97.70591754372154</v>
      </c>
      <c r="D452" s="116">
        <v>97.551545247571894</v>
      </c>
      <c r="E452" s="116">
        <v>95.339071501149618</v>
      </c>
      <c r="F452" s="116">
        <v>93.564668485538348</v>
      </c>
    </row>
    <row r="453" spans="1:6" x14ac:dyDescent="0.25">
      <c r="A453" s="252">
        <f t="shared" si="6"/>
        <v>437</v>
      </c>
      <c r="B453" s="116">
        <v>100.03138828824036</v>
      </c>
      <c r="C453" s="116">
        <v>99.730268935216984</v>
      </c>
      <c r="D453" s="116">
        <v>96.345015655008908</v>
      </c>
      <c r="E453" s="116">
        <v>95.658403091835581</v>
      </c>
      <c r="F453" s="116">
        <v>92.255678684009283</v>
      </c>
    </row>
    <row r="454" spans="1:6" x14ac:dyDescent="0.25">
      <c r="A454" s="252">
        <f t="shared" si="6"/>
        <v>438</v>
      </c>
      <c r="B454" s="116">
        <v>99.543725565474915</v>
      </c>
      <c r="C454" s="116">
        <v>96.851918997100569</v>
      </c>
      <c r="D454" s="116">
        <v>96.068774746487634</v>
      </c>
      <c r="E454" s="116">
        <v>94.058671141196314</v>
      </c>
      <c r="F454" s="116">
        <v>93.984871592962605</v>
      </c>
    </row>
    <row r="455" spans="1:6" x14ac:dyDescent="0.25">
      <c r="A455" s="252">
        <f t="shared" si="6"/>
        <v>439</v>
      </c>
      <c r="B455" s="116">
        <v>101.30002913132647</v>
      </c>
      <c r="C455" s="116">
        <v>95.337813927309085</v>
      </c>
      <c r="D455" s="116">
        <v>96.22179211176325</v>
      </c>
      <c r="E455" s="116">
        <v>96.071705462193023</v>
      </c>
      <c r="F455" s="116">
        <v>92.842107229592273</v>
      </c>
    </row>
    <row r="456" spans="1:6" x14ac:dyDescent="0.25">
      <c r="A456" s="252">
        <f t="shared" si="6"/>
        <v>440</v>
      </c>
      <c r="B456" s="116">
        <v>101.97780690759154</v>
      </c>
      <c r="C456" s="116">
        <v>95.849301376921588</v>
      </c>
      <c r="D456" s="116">
        <v>97.797486744268397</v>
      </c>
      <c r="E456" s="116">
        <v>95.834517646124624</v>
      </c>
      <c r="F456" s="116">
        <v>92.612393781897097</v>
      </c>
    </row>
    <row r="457" spans="1:6" x14ac:dyDescent="0.25">
      <c r="A457" s="252">
        <f t="shared" si="6"/>
        <v>441</v>
      </c>
      <c r="B457" s="116">
        <v>101.48947614261424</v>
      </c>
      <c r="C457" s="116">
        <v>98.748039647546364</v>
      </c>
      <c r="D457" s="116">
        <v>96.091623401855898</v>
      </c>
      <c r="E457" s="116">
        <v>94.3109277040584</v>
      </c>
      <c r="F457" s="116">
        <v>94.010178976165605</v>
      </c>
    </row>
    <row r="458" spans="1:6" x14ac:dyDescent="0.25">
      <c r="A458" s="252">
        <f t="shared" si="6"/>
        <v>442</v>
      </c>
      <c r="B458" s="116">
        <v>102.86037759240946</v>
      </c>
      <c r="C458" s="116">
        <v>98.575733536823236</v>
      </c>
      <c r="D458" s="116">
        <v>97.139301934245395</v>
      </c>
      <c r="E458" s="116">
        <v>94.966821031215915</v>
      </c>
      <c r="F458" s="116">
        <v>92.911210073306478</v>
      </c>
    </row>
    <row r="459" spans="1:6" x14ac:dyDescent="0.25">
      <c r="A459" s="252">
        <f t="shared" si="6"/>
        <v>443</v>
      </c>
      <c r="B459" s="116">
        <v>102.32853909036083</v>
      </c>
      <c r="C459" s="116">
        <v>100.88925956220106</v>
      </c>
      <c r="D459" s="116">
        <v>93.131954434679471</v>
      </c>
      <c r="E459" s="116">
        <v>94.5604710885884</v>
      </c>
      <c r="F459" s="116">
        <v>93.501982502177157</v>
      </c>
    </row>
    <row r="460" spans="1:6" x14ac:dyDescent="0.25">
      <c r="A460" s="252">
        <f t="shared" si="6"/>
        <v>444</v>
      </c>
      <c r="B460" s="116">
        <v>103.26020217396328</v>
      </c>
      <c r="C460" s="116">
        <v>98.526270352080886</v>
      </c>
      <c r="D460" s="116">
        <v>91.911940412535657</v>
      </c>
      <c r="E460" s="116">
        <v>96.493013250410428</v>
      </c>
      <c r="F460" s="116">
        <v>92.676438824794005</v>
      </c>
    </row>
    <row r="461" spans="1:6" x14ac:dyDescent="0.25">
      <c r="A461" s="252">
        <f t="shared" si="6"/>
        <v>445</v>
      </c>
      <c r="B461" s="116">
        <v>101.16272899528481</v>
      </c>
      <c r="C461" s="116">
        <v>97.378696220561594</v>
      </c>
      <c r="D461" s="116">
        <v>96.993764813439867</v>
      </c>
      <c r="E461" s="116">
        <v>96.410674990918551</v>
      </c>
      <c r="F461" s="116">
        <v>94.28942595457579</v>
      </c>
    </row>
    <row r="462" spans="1:6" x14ac:dyDescent="0.25">
      <c r="A462" s="252">
        <f t="shared" si="6"/>
        <v>446</v>
      </c>
      <c r="B462" s="116">
        <v>104.74977404480867</v>
      </c>
      <c r="C462" s="116">
        <v>99.737371901866553</v>
      </c>
      <c r="D462" s="116">
        <v>97.270180031504793</v>
      </c>
      <c r="E462" s="116">
        <v>95.536378236187446</v>
      </c>
      <c r="F462" s="116">
        <v>94.70860366675501</v>
      </c>
    </row>
    <row r="463" spans="1:6" x14ac:dyDescent="0.25">
      <c r="A463" s="252">
        <f t="shared" si="6"/>
        <v>447</v>
      </c>
      <c r="B463" s="116">
        <v>102.32004295433035</v>
      </c>
      <c r="C463" s="116">
        <v>100.15281649836889</v>
      </c>
      <c r="D463" s="116">
        <v>98.839998985201987</v>
      </c>
      <c r="E463" s="116">
        <v>94.608514097609159</v>
      </c>
      <c r="F463" s="116">
        <v>93.217289985836885</v>
      </c>
    </row>
    <row r="464" spans="1:6" x14ac:dyDescent="0.25">
      <c r="A464" s="252">
        <f t="shared" si="6"/>
        <v>448</v>
      </c>
      <c r="B464" s="116">
        <v>100.17265695353269</v>
      </c>
      <c r="C464" s="116">
        <v>96.56537351866524</v>
      </c>
      <c r="D464" s="116">
        <v>96.119116939928759</v>
      </c>
      <c r="E464" s="116">
        <v>96.49862585051541</v>
      </c>
      <c r="F464" s="116">
        <v>92.261441789507529</v>
      </c>
    </row>
    <row r="465" spans="1:6" x14ac:dyDescent="0.25">
      <c r="A465" s="252">
        <f t="shared" si="6"/>
        <v>449</v>
      </c>
      <c r="B465" s="116">
        <v>101.24231457200348</v>
      </c>
      <c r="C465" s="116">
        <v>97.882292736527731</v>
      </c>
      <c r="D465" s="116">
        <v>98.296878717477639</v>
      </c>
      <c r="E465" s="116">
        <v>94.80819714212285</v>
      </c>
      <c r="F465" s="116">
        <v>91.909953242125681</v>
      </c>
    </row>
    <row r="466" spans="1:6" x14ac:dyDescent="0.25">
      <c r="A466" s="252">
        <f t="shared" si="6"/>
        <v>450</v>
      </c>
      <c r="B466" s="116">
        <v>100.53015715080127</v>
      </c>
      <c r="C466" s="116">
        <v>100.01933508968575</v>
      </c>
      <c r="D466" s="116">
        <v>96.790994388048119</v>
      </c>
      <c r="E466" s="116">
        <v>96.069595489848481</v>
      </c>
      <c r="F466" s="116">
        <v>92.149409656508851</v>
      </c>
    </row>
    <row r="467" spans="1:6" x14ac:dyDescent="0.25">
      <c r="A467" s="252">
        <f t="shared" ref="A467:A530" si="7">+A466+1</f>
        <v>451</v>
      </c>
      <c r="B467" s="116">
        <v>105.22563365632391</v>
      </c>
      <c r="C467" s="116">
        <v>100.78732810088852</v>
      </c>
      <c r="D467" s="116">
        <v>94.004414064368532</v>
      </c>
      <c r="E467" s="116">
        <v>94.445612174710377</v>
      </c>
      <c r="F467" s="116">
        <v>92.22085218840094</v>
      </c>
    </row>
    <row r="468" spans="1:6" x14ac:dyDescent="0.25">
      <c r="A468" s="252">
        <f t="shared" si="7"/>
        <v>452</v>
      </c>
      <c r="B468" s="116">
        <v>103.04828319676987</v>
      </c>
      <c r="C468" s="116">
        <v>98.201605042285976</v>
      </c>
      <c r="D468" s="116">
        <v>95.100720514008216</v>
      </c>
      <c r="E468" s="116">
        <v>93.222262455115455</v>
      </c>
      <c r="F468" s="116">
        <v>92.654956795041343</v>
      </c>
    </row>
    <row r="469" spans="1:6" x14ac:dyDescent="0.25">
      <c r="A469" s="252">
        <f t="shared" si="7"/>
        <v>453</v>
      </c>
      <c r="B469" s="116">
        <v>102.48361484514655</v>
      </c>
      <c r="C469" s="116">
        <v>97.820209723613218</v>
      </c>
      <c r="D469" s="116">
        <v>95.406687389690774</v>
      </c>
      <c r="E469" s="116">
        <v>93.631148227249454</v>
      </c>
      <c r="F469" s="116">
        <v>92.415546417764858</v>
      </c>
    </row>
    <row r="470" spans="1:6" x14ac:dyDescent="0.25">
      <c r="A470" s="252">
        <f t="shared" si="7"/>
        <v>454</v>
      </c>
      <c r="B470" s="116">
        <v>101.24295379949146</v>
      </c>
      <c r="C470" s="116">
        <v>99.635212648933063</v>
      </c>
      <c r="D470" s="116">
        <v>96.086430484126197</v>
      </c>
      <c r="E470" s="116">
        <v>95.15479085951776</v>
      </c>
      <c r="F470" s="116">
        <v>93.494184681588933</v>
      </c>
    </row>
    <row r="471" spans="1:6" x14ac:dyDescent="0.25">
      <c r="A471" s="252">
        <f t="shared" si="7"/>
        <v>455</v>
      </c>
      <c r="B471" s="116">
        <v>98.644841419799377</v>
      </c>
      <c r="C471" s="116">
        <v>100.44718642146037</v>
      </c>
      <c r="D471" s="116">
        <v>97.355561757170847</v>
      </c>
      <c r="E471" s="116">
        <v>96.295185474846619</v>
      </c>
      <c r="F471" s="116">
        <v>92.668161574182093</v>
      </c>
    </row>
    <row r="472" spans="1:6" x14ac:dyDescent="0.25">
      <c r="A472" s="252">
        <f t="shared" si="7"/>
        <v>456</v>
      </c>
      <c r="B472" s="116">
        <v>103.79269091987405</v>
      </c>
      <c r="C472" s="116">
        <v>100.20239569601428</v>
      </c>
      <c r="D472" s="116">
        <v>97.466041607851366</v>
      </c>
      <c r="E472" s="116">
        <v>96.196243672305599</v>
      </c>
      <c r="F472" s="116">
        <v>91.17513815272757</v>
      </c>
    </row>
    <row r="473" spans="1:6" x14ac:dyDescent="0.25">
      <c r="A473" s="252">
        <f t="shared" si="7"/>
        <v>457</v>
      </c>
      <c r="B473" s="116">
        <v>101.5448762795122</v>
      </c>
      <c r="C473" s="116">
        <v>99.533122883914174</v>
      </c>
      <c r="D473" s="116">
        <v>100.26886879924507</v>
      </c>
      <c r="E473" s="116">
        <v>93.528288496716115</v>
      </c>
      <c r="F473" s="116">
        <v>95.165968408947862</v>
      </c>
    </row>
    <row r="474" spans="1:6" x14ac:dyDescent="0.25">
      <c r="A474" s="252">
        <f t="shared" si="7"/>
        <v>458</v>
      </c>
      <c r="B474" s="116">
        <v>99.947845966869295</v>
      </c>
      <c r="C474" s="116">
        <v>100.01377874294087</v>
      </c>
      <c r="D474" s="116">
        <v>99.249598856026992</v>
      </c>
      <c r="E474" s="116">
        <v>96.921135949666649</v>
      </c>
      <c r="F474" s="116">
        <v>93.258241889687895</v>
      </c>
    </row>
    <row r="475" spans="1:6" x14ac:dyDescent="0.25">
      <c r="A475" s="252">
        <f t="shared" si="7"/>
        <v>459</v>
      </c>
      <c r="B475" s="116">
        <v>101.95081233701141</v>
      </c>
      <c r="C475" s="116">
        <v>98.162866764223224</v>
      </c>
      <c r="D475" s="116">
        <v>96.953386565139809</v>
      </c>
      <c r="E475" s="116">
        <v>95.261123540137589</v>
      </c>
      <c r="F475" s="116">
        <v>93.324094567204526</v>
      </c>
    </row>
    <row r="476" spans="1:6" x14ac:dyDescent="0.25">
      <c r="A476" s="252">
        <f t="shared" si="7"/>
        <v>460</v>
      </c>
      <c r="B476" s="116">
        <v>106.58390535038419</v>
      </c>
      <c r="C476" s="116">
        <v>101.18019039512963</v>
      </c>
      <c r="D476" s="116">
        <v>94.510588740953608</v>
      </c>
      <c r="E476" s="116">
        <v>95.74084109504139</v>
      </c>
      <c r="F476" s="116">
        <v>92.053887530763959</v>
      </c>
    </row>
    <row r="477" spans="1:6" x14ac:dyDescent="0.25">
      <c r="A477" s="252">
        <f t="shared" si="7"/>
        <v>461</v>
      </c>
      <c r="B477" s="116">
        <v>102.33877694955186</v>
      </c>
      <c r="C477" s="116">
        <v>99.981131898949371</v>
      </c>
      <c r="D477" s="116">
        <v>93.879571479896214</v>
      </c>
      <c r="E477" s="116">
        <v>95.432284800806499</v>
      </c>
      <c r="F477" s="116">
        <v>93.841445198370806</v>
      </c>
    </row>
    <row r="478" spans="1:6" x14ac:dyDescent="0.25">
      <c r="A478" s="252">
        <f t="shared" si="7"/>
        <v>462</v>
      </c>
      <c r="B478" s="116">
        <v>102.05495046837095</v>
      </c>
      <c r="C478" s="116">
        <v>101.86006640947973</v>
      </c>
      <c r="D478" s="116">
        <v>96.863268552797607</v>
      </c>
      <c r="E478" s="116">
        <v>95.33145862702635</v>
      </c>
      <c r="F478" s="116">
        <v>94.056883416995106</v>
      </c>
    </row>
    <row r="479" spans="1:6" x14ac:dyDescent="0.25">
      <c r="A479" s="252">
        <f t="shared" si="7"/>
        <v>463</v>
      </c>
      <c r="B479" s="116">
        <v>100.99678500210011</v>
      </c>
      <c r="C479" s="116">
        <v>101.97977898178719</v>
      </c>
      <c r="D479" s="116">
        <v>95.300721936260175</v>
      </c>
      <c r="E479" s="116">
        <v>93.297315999439391</v>
      </c>
      <c r="F479" s="116">
        <v>93.348146129462677</v>
      </c>
    </row>
    <row r="480" spans="1:6" x14ac:dyDescent="0.25">
      <c r="A480" s="252">
        <f t="shared" si="7"/>
        <v>464</v>
      </c>
      <c r="B480" s="116">
        <v>100.56760130071342</v>
      </c>
      <c r="C480" s="116">
        <v>99.0688819952301</v>
      </c>
      <c r="D480" s="116">
        <v>95.228446270275995</v>
      </c>
      <c r="E480" s="116">
        <v>95.072827162625742</v>
      </c>
      <c r="F480" s="116">
        <v>97.006643922305727</v>
      </c>
    </row>
    <row r="481" spans="1:6" x14ac:dyDescent="0.25">
      <c r="A481" s="252">
        <f t="shared" si="7"/>
        <v>465</v>
      </c>
      <c r="B481" s="116">
        <v>102.20652641516335</v>
      </c>
      <c r="C481" s="116">
        <v>97.316683936001411</v>
      </c>
      <c r="D481" s="116">
        <v>96.029984665529</v>
      </c>
      <c r="E481" s="116">
        <v>94.7759397840899</v>
      </c>
      <c r="F481" s="116">
        <v>92.896954685157979</v>
      </c>
    </row>
    <row r="482" spans="1:6" x14ac:dyDescent="0.25">
      <c r="A482" s="252">
        <f t="shared" si="7"/>
        <v>466</v>
      </c>
      <c r="B482" s="116">
        <v>100.34995480907874</v>
      </c>
      <c r="C482" s="116">
        <v>99.609985866366827</v>
      </c>
      <c r="D482" s="116">
        <v>95.595312605168999</v>
      </c>
      <c r="E482" s="116">
        <v>95.244320503044051</v>
      </c>
      <c r="F482" s="116">
        <v>92.361303550764546</v>
      </c>
    </row>
    <row r="483" spans="1:6" x14ac:dyDescent="0.25">
      <c r="A483" s="252">
        <f t="shared" si="7"/>
        <v>467</v>
      </c>
      <c r="B483" s="116">
        <v>101.25381046544625</v>
      </c>
      <c r="C483" s="116">
        <v>100.23736335203498</v>
      </c>
      <c r="D483" s="116">
        <v>94.511736966710828</v>
      </c>
      <c r="E483" s="116">
        <v>94.245223818808739</v>
      </c>
      <c r="F483" s="116">
        <v>91.22484294487883</v>
      </c>
    </row>
    <row r="484" spans="1:6" x14ac:dyDescent="0.25">
      <c r="A484" s="252">
        <f t="shared" si="7"/>
        <v>468</v>
      </c>
      <c r="B484" s="116">
        <v>98.807559423514618</v>
      </c>
      <c r="C484" s="116">
        <v>97.171191061400194</v>
      </c>
      <c r="D484" s="116">
        <v>99.168229776340766</v>
      </c>
      <c r="E484" s="116">
        <v>96.06130224315865</v>
      </c>
      <c r="F484" s="116">
        <v>92.914346637162566</v>
      </c>
    </row>
    <row r="485" spans="1:6" x14ac:dyDescent="0.25">
      <c r="A485" s="252">
        <f t="shared" si="7"/>
        <v>469</v>
      </c>
      <c r="B485" s="116">
        <v>103.09366237029114</v>
      </c>
      <c r="C485" s="116">
        <v>99.223391410582096</v>
      </c>
      <c r="D485" s="116">
        <v>101.17781950864429</v>
      </c>
      <c r="E485" s="116">
        <v>94.768711227948884</v>
      </c>
      <c r="F485" s="116">
        <v>90.973342639186313</v>
      </c>
    </row>
    <row r="486" spans="1:6" x14ac:dyDescent="0.25">
      <c r="A486" s="252">
        <f t="shared" si="7"/>
        <v>470</v>
      </c>
      <c r="B486" s="116">
        <v>102.24727412100852</v>
      </c>
      <c r="C486" s="116">
        <v>101.04272274333675</v>
      </c>
      <c r="D486" s="116">
        <v>94.200041987818082</v>
      </c>
      <c r="E486" s="116">
        <v>95.692689893471282</v>
      </c>
      <c r="F486" s="116">
        <v>94.046718012804973</v>
      </c>
    </row>
    <row r="487" spans="1:6" x14ac:dyDescent="0.25">
      <c r="A487" s="252">
        <f t="shared" si="7"/>
        <v>471</v>
      </c>
      <c r="B487" s="116">
        <v>100.30283797732262</v>
      </c>
      <c r="C487" s="116">
        <v>98.416317066921394</v>
      </c>
      <c r="D487" s="116">
        <v>96.731669614710029</v>
      </c>
      <c r="E487" s="116">
        <v>93.549772491513423</v>
      </c>
      <c r="F487" s="116">
        <v>94.991298916992136</v>
      </c>
    </row>
    <row r="488" spans="1:6" x14ac:dyDescent="0.25">
      <c r="A488" s="252">
        <f t="shared" si="7"/>
        <v>472</v>
      </c>
      <c r="B488" s="116">
        <v>102.50329719654073</v>
      </c>
      <c r="C488" s="116">
        <v>99.969923158652961</v>
      </c>
      <c r="D488" s="116">
        <v>97.402147463833074</v>
      </c>
      <c r="E488" s="116">
        <v>93.606673345499459</v>
      </c>
      <c r="F488" s="116">
        <v>92.858796398595544</v>
      </c>
    </row>
    <row r="489" spans="1:6" x14ac:dyDescent="0.25">
      <c r="A489" s="252">
        <f t="shared" si="7"/>
        <v>473</v>
      </c>
      <c r="B489" s="116">
        <v>101.37034630422981</v>
      </c>
      <c r="C489" s="116">
        <v>101.05238501754914</v>
      </c>
      <c r="D489" s="116">
        <v>97.181279617009508</v>
      </c>
      <c r="E489" s="116">
        <v>95.566096138432769</v>
      </c>
      <c r="F489" s="116">
        <v>93.232906854280358</v>
      </c>
    </row>
    <row r="490" spans="1:6" x14ac:dyDescent="0.25">
      <c r="A490" s="252">
        <f t="shared" si="7"/>
        <v>474</v>
      </c>
      <c r="B490" s="116">
        <v>100.35024102075963</v>
      </c>
      <c r="C490" s="116">
        <v>96.529783805539481</v>
      </c>
      <c r="D490" s="116">
        <v>97.267918649491463</v>
      </c>
      <c r="E490" s="116">
        <v>93.53261306564022</v>
      </c>
      <c r="F490" s="116">
        <v>93.024509813813935</v>
      </c>
    </row>
    <row r="491" spans="1:6" x14ac:dyDescent="0.25">
      <c r="A491" s="252">
        <f t="shared" si="7"/>
        <v>475</v>
      </c>
      <c r="B491" s="116">
        <v>100.08245145374609</v>
      </c>
      <c r="C491" s="116">
        <v>97.717623620484659</v>
      </c>
      <c r="D491" s="116">
        <v>96.834248281890368</v>
      </c>
      <c r="E491" s="116">
        <v>93.0137615396456</v>
      </c>
      <c r="F491" s="116">
        <v>93.135993130927176</v>
      </c>
    </row>
    <row r="492" spans="1:6" x14ac:dyDescent="0.25">
      <c r="A492" s="252">
        <f t="shared" si="7"/>
        <v>476</v>
      </c>
      <c r="B492" s="116">
        <v>104.40538649475639</v>
      </c>
      <c r="C492" s="116">
        <v>101.00798635581792</v>
      </c>
      <c r="D492" s="116">
        <v>97.366074091596744</v>
      </c>
      <c r="E492" s="116">
        <v>95.478878142240802</v>
      </c>
      <c r="F492" s="116">
        <v>92.53449556800598</v>
      </c>
    </row>
    <row r="493" spans="1:6" x14ac:dyDescent="0.25">
      <c r="A493" s="252">
        <f t="shared" si="7"/>
        <v>477</v>
      </c>
      <c r="B493" s="116">
        <v>104.38286275442034</v>
      </c>
      <c r="C493" s="116">
        <v>97.505053071969797</v>
      </c>
      <c r="D493" s="116">
        <v>97.475601489503219</v>
      </c>
      <c r="E493" s="116">
        <v>95.308951030053436</v>
      </c>
      <c r="F493" s="116">
        <v>90.125328410880797</v>
      </c>
    </row>
    <row r="494" spans="1:6" x14ac:dyDescent="0.25">
      <c r="A494" s="252">
        <f t="shared" si="7"/>
        <v>478</v>
      </c>
      <c r="B494" s="116">
        <v>101.06212733376806</v>
      </c>
      <c r="C494" s="116">
        <v>97.976085019944549</v>
      </c>
      <c r="D494" s="116">
        <v>95.099083693456294</v>
      </c>
      <c r="E494" s="116">
        <v>93.845255400107661</v>
      </c>
      <c r="F494" s="116">
        <v>91.588041632572597</v>
      </c>
    </row>
    <row r="495" spans="1:6" x14ac:dyDescent="0.25">
      <c r="A495" s="252">
        <f t="shared" si="7"/>
        <v>479</v>
      </c>
      <c r="B495" s="116">
        <v>102.14055875604416</v>
      </c>
      <c r="C495" s="116">
        <v>100.77706236373739</v>
      </c>
      <c r="D495" s="116">
        <v>94.887951316171979</v>
      </c>
      <c r="E495" s="116">
        <v>96.4398731216356</v>
      </c>
      <c r="F495" s="116">
        <v>92.745084833373397</v>
      </c>
    </row>
    <row r="496" spans="1:6" x14ac:dyDescent="0.25">
      <c r="A496" s="252">
        <f t="shared" si="7"/>
        <v>480</v>
      </c>
      <c r="B496" s="116">
        <v>103.76985860158882</v>
      </c>
      <c r="C496" s="116">
        <v>98.6379712032941</v>
      </c>
      <c r="D496" s="116">
        <v>95.580246626097605</v>
      </c>
      <c r="E496" s="116">
        <v>94.856493187923562</v>
      </c>
      <c r="F496" s="116">
        <v>90.440803033702537</v>
      </c>
    </row>
    <row r="497" spans="1:6" x14ac:dyDescent="0.25">
      <c r="A497" s="252">
        <f t="shared" si="7"/>
        <v>481</v>
      </c>
      <c r="B497" s="116">
        <v>101.66849461640037</v>
      </c>
      <c r="C497" s="116">
        <v>98.102620773962158</v>
      </c>
      <c r="D497" s="116">
        <v>95.770367777993982</v>
      </c>
      <c r="E497" s="116">
        <v>95.48121036165081</v>
      </c>
      <c r="F497" s="116">
        <v>93.990756277589</v>
      </c>
    </row>
    <row r="498" spans="1:6" x14ac:dyDescent="0.25">
      <c r="A498" s="252">
        <f t="shared" si="7"/>
        <v>482</v>
      </c>
      <c r="B498" s="116">
        <v>104.49345510228399</v>
      </c>
      <c r="C498" s="116">
        <v>96.935258049729725</v>
      </c>
      <c r="D498" s="116">
        <v>95.173329380086869</v>
      </c>
      <c r="E498" s="116">
        <v>96.095232313514728</v>
      </c>
      <c r="F498" s="116">
        <v>93.013060141299619</v>
      </c>
    </row>
    <row r="499" spans="1:6" x14ac:dyDescent="0.25">
      <c r="A499" s="252">
        <f t="shared" si="7"/>
        <v>483</v>
      </c>
      <c r="B499" s="116">
        <v>102.49745942392445</v>
      </c>
      <c r="C499" s="116">
        <v>100.32981830214523</v>
      </c>
      <c r="D499" s="116">
        <v>94.563408085583305</v>
      </c>
      <c r="E499" s="116">
        <v>94.470053218277229</v>
      </c>
      <c r="F499" s="116">
        <v>91.730294493657667</v>
      </c>
    </row>
    <row r="500" spans="1:6" x14ac:dyDescent="0.25">
      <c r="A500" s="252">
        <f t="shared" si="7"/>
        <v>484</v>
      </c>
      <c r="B500" s="116">
        <v>103.20557505138775</v>
      </c>
      <c r="C500" s="116">
        <v>98.606942823329035</v>
      </c>
      <c r="D500" s="116">
        <v>97.579690622150224</v>
      </c>
      <c r="E500" s="116">
        <v>96.239574165928303</v>
      </c>
      <c r="F500" s="116">
        <v>94.063021633504448</v>
      </c>
    </row>
    <row r="501" spans="1:6" x14ac:dyDescent="0.25">
      <c r="A501" s="252">
        <f t="shared" si="7"/>
        <v>485</v>
      </c>
      <c r="B501" s="116">
        <v>103.43515355330499</v>
      </c>
      <c r="C501" s="116">
        <v>100.56876192290945</v>
      </c>
      <c r="D501" s="116">
        <v>97.734473716970385</v>
      </c>
      <c r="E501" s="116">
        <v>93.035642543810511</v>
      </c>
      <c r="F501" s="116">
        <v>93.913342697995489</v>
      </c>
    </row>
    <row r="502" spans="1:6" x14ac:dyDescent="0.25">
      <c r="A502" s="252">
        <f t="shared" si="7"/>
        <v>486</v>
      </c>
      <c r="B502" s="116">
        <v>100.70448336902774</v>
      </c>
      <c r="C502" s="116">
        <v>101.18489471088078</v>
      </c>
      <c r="D502" s="116">
        <v>96.046533280074343</v>
      </c>
      <c r="E502" s="116">
        <v>96.986964951483714</v>
      </c>
      <c r="F502" s="116">
        <v>93.268028943538354</v>
      </c>
    </row>
    <row r="503" spans="1:6" x14ac:dyDescent="0.25">
      <c r="A503" s="252">
        <f t="shared" si="7"/>
        <v>487</v>
      </c>
      <c r="B503" s="116">
        <v>101.62766814190584</v>
      </c>
      <c r="C503" s="116">
        <v>99.928489148199247</v>
      </c>
      <c r="D503" s="116">
        <v>100.40975112596898</v>
      </c>
      <c r="E503" s="116">
        <v>95.414794897791722</v>
      </c>
      <c r="F503" s="116">
        <v>91.490006445743319</v>
      </c>
    </row>
    <row r="504" spans="1:6" x14ac:dyDescent="0.25">
      <c r="A504" s="252">
        <f t="shared" si="7"/>
        <v>488</v>
      </c>
      <c r="B504" s="116">
        <v>102.99369273279729</v>
      </c>
      <c r="C504" s="116">
        <v>99.511612759911415</v>
      </c>
      <c r="D504" s="116">
        <v>99.548165571596968</v>
      </c>
      <c r="E504" s="116">
        <v>95.366739553944129</v>
      </c>
      <c r="F504" s="116">
        <v>93.132513197907812</v>
      </c>
    </row>
    <row r="505" spans="1:6" x14ac:dyDescent="0.25">
      <c r="A505" s="252">
        <f t="shared" si="7"/>
        <v>489</v>
      </c>
      <c r="B505" s="116">
        <v>101.3722796266828</v>
      </c>
      <c r="C505" s="116">
        <v>101.52937683011535</v>
      </c>
      <c r="D505" s="116">
        <v>97.71391078247801</v>
      </c>
      <c r="E505" s="116">
        <v>94.036028513926738</v>
      </c>
      <c r="F505" s="116">
        <v>94.231124868233579</v>
      </c>
    </row>
    <row r="506" spans="1:6" x14ac:dyDescent="0.25">
      <c r="A506" s="252">
        <f t="shared" si="7"/>
        <v>490</v>
      </c>
      <c r="B506" s="116">
        <v>103.71762670005675</v>
      </c>
      <c r="C506" s="116">
        <v>99.929585599205453</v>
      </c>
      <c r="D506" s="116">
        <v>95.69609346636534</v>
      </c>
      <c r="E506" s="116">
        <v>94.691866814644058</v>
      </c>
      <c r="F506" s="116">
        <v>92.703763248307851</v>
      </c>
    </row>
    <row r="507" spans="1:6" x14ac:dyDescent="0.25">
      <c r="A507" s="252">
        <f t="shared" si="7"/>
        <v>491</v>
      </c>
      <c r="B507" s="116">
        <v>102.26156513673973</v>
      </c>
      <c r="C507" s="116">
        <v>97.158557191841609</v>
      </c>
      <c r="D507" s="116">
        <v>97.733004247569724</v>
      </c>
      <c r="E507" s="116">
        <v>95.485677809017687</v>
      </c>
      <c r="F507" s="116">
        <v>92.704745124593032</v>
      </c>
    </row>
    <row r="508" spans="1:6" x14ac:dyDescent="0.25">
      <c r="A508" s="252">
        <f t="shared" si="7"/>
        <v>492</v>
      </c>
      <c r="B508" s="116">
        <v>101.42646732793366</v>
      </c>
      <c r="C508" s="116">
        <v>100.56159705939879</v>
      </c>
      <c r="D508" s="116">
        <v>95.354062345884799</v>
      </c>
      <c r="E508" s="116">
        <v>94.082309990929318</v>
      </c>
      <c r="F508" s="116">
        <v>92.096702169286203</v>
      </c>
    </row>
    <row r="509" spans="1:6" x14ac:dyDescent="0.25">
      <c r="A509" s="252">
        <f t="shared" si="7"/>
        <v>493</v>
      </c>
      <c r="B509" s="116">
        <v>103.26763690716939</v>
      </c>
      <c r="C509" s="116">
        <v>96.710030294538782</v>
      </c>
      <c r="D509" s="116">
        <v>97.452667977347147</v>
      </c>
      <c r="E509" s="116">
        <v>95.793531124891246</v>
      </c>
      <c r="F509" s="116">
        <v>91.681454200600569</v>
      </c>
    </row>
    <row r="510" spans="1:6" x14ac:dyDescent="0.25">
      <c r="A510" s="252">
        <f t="shared" si="7"/>
        <v>494</v>
      </c>
      <c r="B510" s="116">
        <v>102.67341662393849</v>
      </c>
      <c r="C510" s="116">
        <v>97.752143586679736</v>
      </c>
      <c r="D510" s="116">
        <v>98.188584765236911</v>
      </c>
      <c r="E510" s="116">
        <v>94.95356825627573</v>
      </c>
      <c r="F510" s="116">
        <v>93.609896730868911</v>
      </c>
    </row>
    <row r="511" spans="1:6" x14ac:dyDescent="0.25">
      <c r="A511" s="252">
        <f t="shared" si="7"/>
        <v>495</v>
      </c>
      <c r="B511" s="116">
        <v>104.69149399082153</v>
      </c>
      <c r="C511" s="116">
        <v>99.252578308398284</v>
      </c>
      <c r="D511" s="116">
        <v>97.940318826866104</v>
      </c>
      <c r="E511" s="116">
        <v>94.836212159590332</v>
      </c>
      <c r="F511" s="116">
        <v>93.15473039682287</v>
      </c>
    </row>
    <row r="512" spans="1:6" x14ac:dyDescent="0.25">
      <c r="A512" s="252">
        <f t="shared" si="7"/>
        <v>496</v>
      </c>
      <c r="B512" s="116">
        <v>98.927023890208915</v>
      </c>
      <c r="C512" s="116">
        <v>98.1912786799288</v>
      </c>
      <c r="D512" s="116">
        <v>97.742308629572179</v>
      </c>
      <c r="E512" s="116">
        <v>94.789104812763924</v>
      </c>
      <c r="F512" s="116">
        <v>93.505856480638528</v>
      </c>
    </row>
    <row r="513" spans="1:6" x14ac:dyDescent="0.25">
      <c r="A513" s="252">
        <f t="shared" si="7"/>
        <v>497</v>
      </c>
      <c r="B513" s="116">
        <v>101.10520906708562</v>
      </c>
      <c r="C513" s="116">
        <v>98.040628859243171</v>
      </c>
      <c r="D513" s="116">
        <v>95.300004050711109</v>
      </c>
      <c r="E513" s="116">
        <v>93.923870322419248</v>
      </c>
      <c r="F513" s="116">
        <v>93.802638492367976</v>
      </c>
    </row>
    <row r="514" spans="1:6" x14ac:dyDescent="0.25">
      <c r="A514" s="252">
        <f t="shared" si="7"/>
        <v>498</v>
      </c>
      <c r="B514" s="116">
        <v>100.71616632679643</v>
      </c>
      <c r="C514" s="116">
        <v>98.730036217935677</v>
      </c>
      <c r="D514" s="116">
        <v>97.184378931910857</v>
      </c>
      <c r="E514" s="116">
        <v>94.914824603935401</v>
      </c>
      <c r="F514" s="116">
        <v>92.753553641807358</v>
      </c>
    </row>
    <row r="515" spans="1:6" x14ac:dyDescent="0.25">
      <c r="A515" s="252">
        <f t="shared" si="7"/>
        <v>499</v>
      </c>
      <c r="B515" s="116">
        <v>100.49757226809491</v>
      </c>
      <c r="C515" s="116">
        <v>97.763407264168663</v>
      </c>
      <c r="D515" s="116">
        <v>97.554805927370097</v>
      </c>
      <c r="E515" s="116">
        <v>95.379749919865631</v>
      </c>
      <c r="F515" s="116">
        <v>93.528964486575163</v>
      </c>
    </row>
    <row r="516" spans="1:6" x14ac:dyDescent="0.25">
      <c r="A516" s="252">
        <f t="shared" si="7"/>
        <v>500</v>
      </c>
      <c r="B516" s="116">
        <v>100.90650261271207</v>
      </c>
      <c r="C516" s="116">
        <v>98.542292499572596</v>
      </c>
      <c r="D516" s="116">
        <v>95.767772487244841</v>
      </c>
      <c r="E516" s="116">
        <v>95.409080926804904</v>
      </c>
      <c r="F516" s="116">
        <v>92.89316787774483</v>
      </c>
    </row>
    <row r="517" spans="1:6" x14ac:dyDescent="0.25">
      <c r="A517" s="252">
        <f t="shared" si="7"/>
        <v>501</v>
      </c>
      <c r="B517" s="116">
        <v>97.536691007705699</v>
      </c>
      <c r="C517" s="116">
        <v>98.707922856974562</v>
      </c>
      <c r="D517" s="116">
        <v>96.518125174866213</v>
      </c>
      <c r="E517" s="116">
        <v>93.941108037441111</v>
      </c>
      <c r="F517" s="116">
        <v>92.066101398682079</v>
      </c>
    </row>
    <row r="518" spans="1:6" x14ac:dyDescent="0.25">
      <c r="A518" s="252">
        <f t="shared" si="7"/>
        <v>502</v>
      </c>
      <c r="B518" s="116">
        <v>100.27144137047064</v>
      </c>
      <c r="C518" s="116">
        <v>98.386368779392754</v>
      </c>
      <c r="D518" s="116">
        <v>94.650147888266659</v>
      </c>
      <c r="E518" s="116">
        <v>94.598985606048231</v>
      </c>
      <c r="F518" s="116">
        <v>94.5855535094788</v>
      </c>
    </row>
    <row r="519" spans="1:6" x14ac:dyDescent="0.25">
      <c r="A519" s="252">
        <f t="shared" si="7"/>
        <v>503</v>
      </c>
      <c r="B519" s="116">
        <v>103.78101135777214</v>
      </c>
      <c r="C519" s="116">
        <v>99.473939015916869</v>
      </c>
      <c r="D519" s="116">
        <v>97.644784408285659</v>
      </c>
      <c r="E519" s="116">
        <v>94.867014742400016</v>
      </c>
      <c r="F519" s="116">
        <v>92.227867437732243</v>
      </c>
    </row>
    <row r="520" spans="1:6" x14ac:dyDescent="0.25">
      <c r="A520" s="252">
        <f t="shared" si="7"/>
        <v>504</v>
      </c>
      <c r="B520" s="116">
        <v>100.59406392173355</v>
      </c>
      <c r="C520" s="116">
        <v>98.459681801407768</v>
      </c>
      <c r="D520" s="116">
        <v>96.065640953598574</v>
      </c>
      <c r="E520" s="116">
        <v>93.871830895350115</v>
      </c>
      <c r="F520" s="116">
        <v>94.141642726610755</v>
      </c>
    </row>
    <row r="521" spans="1:6" x14ac:dyDescent="0.25">
      <c r="A521" s="252">
        <f t="shared" si="7"/>
        <v>505</v>
      </c>
      <c r="B521" s="116">
        <v>100.56703390617882</v>
      </c>
      <c r="C521" s="116">
        <v>98.36608274192254</v>
      </c>
      <c r="D521" s="116">
        <v>93.216740151644487</v>
      </c>
      <c r="E521" s="116">
        <v>94.425818049623302</v>
      </c>
      <c r="F521" s="116">
        <v>93.656406853980741</v>
      </c>
    </row>
    <row r="522" spans="1:6" x14ac:dyDescent="0.25">
      <c r="A522" s="252">
        <f t="shared" si="7"/>
        <v>506</v>
      </c>
      <c r="B522" s="116">
        <v>99.099822834059125</v>
      </c>
      <c r="C522" s="116">
        <v>98.581007401339775</v>
      </c>
      <c r="D522" s="116">
        <v>97.138167677354559</v>
      </c>
      <c r="E522" s="116">
        <v>95.598359372650123</v>
      </c>
      <c r="F522" s="116">
        <v>93.419598153848469</v>
      </c>
    </row>
    <row r="523" spans="1:6" x14ac:dyDescent="0.25">
      <c r="A523" s="252">
        <f t="shared" si="7"/>
        <v>507</v>
      </c>
      <c r="B523" s="116">
        <v>101.04817117704043</v>
      </c>
      <c r="C523" s="116">
        <v>98.871728180154193</v>
      </c>
      <c r="D523" s="116">
        <v>97.100006982001929</v>
      </c>
      <c r="E523" s="116">
        <v>95.427350137484524</v>
      </c>
      <c r="F523" s="116">
        <v>93.834521231955151</v>
      </c>
    </row>
    <row r="524" spans="1:6" x14ac:dyDescent="0.25">
      <c r="A524" s="252">
        <f t="shared" si="7"/>
        <v>508</v>
      </c>
      <c r="B524" s="116">
        <v>102.66951474490421</v>
      </c>
      <c r="C524" s="116">
        <v>101.07602926147682</v>
      </c>
      <c r="D524" s="116">
        <v>97.523546749553049</v>
      </c>
      <c r="E524" s="116">
        <v>94.181924431740853</v>
      </c>
      <c r="F524" s="116">
        <v>93.401731359963335</v>
      </c>
    </row>
    <row r="525" spans="1:6" x14ac:dyDescent="0.25">
      <c r="A525" s="252">
        <f t="shared" si="7"/>
        <v>509</v>
      </c>
      <c r="B525" s="116">
        <v>100.5693430120792</v>
      </c>
      <c r="C525" s="116">
        <v>101.52575510830829</v>
      </c>
      <c r="D525" s="116">
        <v>95.292876498010713</v>
      </c>
      <c r="E525" s="116">
        <v>94.565879382700956</v>
      </c>
      <c r="F525" s="116">
        <v>93.270260572739375</v>
      </c>
    </row>
    <row r="526" spans="1:6" x14ac:dyDescent="0.25">
      <c r="A526" s="252">
        <f t="shared" si="7"/>
        <v>510</v>
      </c>
      <c r="B526" s="116">
        <v>103.8856122657059</v>
      </c>
      <c r="C526" s="116">
        <v>98.847484934305058</v>
      </c>
      <c r="D526" s="116">
        <v>96.886421915176768</v>
      </c>
      <c r="E526" s="116">
        <v>95.940357486617501</v>
      </c>
      <c r="F526" s="116">
        <v>92.309949097467666</v>
      </c>
    </row>
    <row r="527" spans="1:6" x14ac:dyDescent="0.25">
      <c r="A527" s="252">
        <f t="shared" si="7"/>
        <v>511</v>
      </c>
      <c r="B527" s="116">
        <v>101.4165601570686</v>
      </c>
      <c r="C527" s="116">
        <v>98.309535344547626</v>
      </c>
      <c r="D527" s="116">
        <v>97.55382338597289</v>
      </c>
      <c r="E527" s="116">
        <v>96.202016524421808</v>
      </c>
      <c r="F527" s="116">
        <v>93.080736367247553</v>
      </c>
    </row>
    <row r="528" spans="1:6" x14ac:dyDescent="0.25">
      <c r="A528" s="252">
        <f t="shared" si="7"/>
        <v>512</v>
      </c>
      <c r="B528" s="116">
        <v>101.60797145486728</v>
      </c>
      <c r="C528" s="116">
        <v>98.604097141224642</v>
      </c>
      <c r="D528" s="116">
        <v>96.649911576064781</v>
      </c>
      <c r="E528" s="116">
        <v>94.591464860665397</v>
      </c>
      <c r="F528" s="116">
        <v>94.162034223311352</v>
      </c>
    </row>
    <row r="529" spans="1:6" x14ac:dyDescent="0.25">
      <c r="A529" s="252">
        <f t="shared" si="7"/>
        <v>513</v>
      </c>
      <c r="B529" s="116">
        <v>102.08990259368491</v>
      </c>
      <c r="C529" s="116">
        <v>96.479181536290056</v>
      </c>
      <c r="D529" s="116">
        <v>98.435935718249041</v>
      </c>
      <c r="E529" s="116">
        <v>94.87038345778376</v>
      </c>
      <c r="F529" s="116">
        <v>92.757931376600297</v>
      </c>
    </row>
    <row r="530" spans="1:6" x14ac:dyDescent="0.25">
      <c r="A530" s="252">
        <f t="shared" si="7"/>
        <v>514</v>
      </c>
      <c r="B530" s="116">
        <v>100.13798362629321</v>
      </c>
      <c r="C530" s="116">
        <v>98.732677273221398</v>
      </c>
      <c r="D530" s="116">
        <v>98.990978108922036</v>
      </c>
      <c r="E530" s="116">
        <v>97.013900403034256</v>
      </c>
      <c r="F530" s="116">
        <v>93.192519407257208</v>
      </c>
    </row>
    <row r="531" spans="1:6" x14ac:dyDescent="0.25">
      <c r="A531" s="252">
        <f t="shared" ref="A531:A594" si="8">+A530+1</f>
        <v>515</v>
      </c>
      <c r="B531" s="116">
        <v>96.624087291482113</v>
      </c>
      <c r="C531" s="116">
        <v>99.341462790409963</v>
      </c>
      <c r="D531" s="116">
        <v>98.627668799787543</v>
      </c>
      <c r="E531" s="116">
        <v>94.233886797014847</v>
      </c>
      <c r="F531" s="116">
        <v>94.129873980201381</v>
      </c>
    </row>
    <row r="532" spans="1:6" x14ac:dyDescent="0.25">
      <c r="A532" s="252">
        <f t="shared" si="8"/>
        <v>516</v>
      </c>
      <c r="B532" s="116">
        <v>101.61775990758434</v>
      </c>
      <c r="C532" s="116">
        <v>101.43026149499892</v>
      </c>
      <c r="D532" s="116">
        <v>97.272835845668638</v>
      </c>
      <c r="E532" s="116">
        <v>92.822016709461394</v>
      </c>
      <c r="F532" s="116">
        <v>93.355751672162924</v>
      </c>
    </row>
    <row r="533" spans="1:6" x14ac:dyDescent="0.25">
      <c r="A533" s="252">
        <f t="shared" si="8"/>
        <v>517</v>
      </c>
      <c r="B533" s="116">
        <v>99.483582541431176</v>
      </c>
      <c r="C533" s="116">
        <v>99.421839487770242</v>
      </c>
      <c r="D533" s="116">
        <v>97.462144781661678</v>
      </c>
      <c r="E533" s="116">
        <v>94.956868830347219</v>
      </c>
      <c r="F533" s="116">
        <v>94.151566168662256</v>
      </c>
    </row>
    <row r="534" spans="1:6" x14ac:dyDescent="0.25">
      <c r="A534" s="252">
        <f t="shared" si="8"/>
        <v>518</v>
      </c>
      <c r="B534" s="116">
        <v>102.26546833277189</v>
      </c>
      <c r="C534" s="116">
        <v>101.90308339083886</v>
      </c>
      <c r="D534" s="116">
        <v>97.199637895722816</v>
      </c>
      <c r="E534" s="116">
        <v>95.668540378671082</v>
      </c>
      <c r="F534" s="116">
        <v>92.306884807541977</v>
      </c>
    </row>
    <row r="535" spans="1:6" x14ac:dyDescent="0.25">
      <c r="A535" s="252">
        <f t="shared" si="8"/>
        <v>519</v>
      </c>
      <c r="B535" s="116">
        <v>101.40143977216503</v>
      </c>
      <c r="C535" s="116">
        <v>98.28503666283649</v>
      </c>
      <c r="D535" s="116">
        <v>98.751920978375097</v>
      </c>
      <c r="E535" s="116">
        <v>93.553959968117709</v>
      </c>
      <c r="F535" s="116">
        <v>93.778501079732635</v>
      </c>
    </row>
    <row r="536" spans="1:6" x14ac:dyDescent="0.25">
      <c r="A536" s="252">
        <f t="shared" si="8"/>
        <v>520</v>
      </c>
      <c r="B536" s="116">
        <v>97.941632493367024</v>
      </c>
      <c r="C536" s="116">
        <v>98.530843311280179</v>
      </c>
      <c r="D536" s="116">
        <v>97.316518022345392</v>
      </c>
      <c r="E536" s="116">
        <v>93.618753365141771</v>
      </c>
      <c r="F536" s="116">
        <v>92.806537088373133</v>
      </c>
    </row>
    <row r="537" spans="1:6" x14ac:dyDescent="0.25">
      <c r="A537" s="252">
        <f t="shared" si="8"/>
        <v>521</v>
      </c>
      <c r="B537" s="116">
        <v>102.29482152233081</v>
      </c>
      <c r="C537" s="116">
        <v>99.933052134431904</v>
      </c>
      <c r="D537" s="116">
        <v>97.220804355709021</v>
      </c>
      <c r="E537" s="116">
        <v>96.647742254728584</v>
      </c>
      <c r="F537" s="116">
        <v>93.135290691931672</v>
      </c>
    </row>
    <row r="538" spans="1:6" x14ac:dyDescent="0.25">
      <c r="A538" s="252">
        <f t="shared" si="8"/>
        <v>522</v>
      </c>
      <c r="B538" s="116">
        <v>104.93660171372038</v>
      </c>
      <c r="C538" s="116">
        <v>98.647011782083112</v>
      </c>
      <c r="D538" s="116">
        <v>98.491967011882508</v>
      </c>
      <c r="E538" s="116">
        <v>95.266731973061923</v>
      </c>
      <c r="F538" s="116">
        <v>92.741755048140845</v>
      </c>
    </row>
    <row r="539" spans="1:6" x14ac:dyDescent="0.25">
      <c r="A539" s="252">
        <f t="shared" si="8"/>
        <v>523</v>
      </c>
      <c r="B539" s="116">
        <v>104.48789092786357</v>
      </c>
      <c r="C539" s="116">
        <v>99.146250704703334</v>
      </c>
      <c r="D539" s="116">
        <v>96.400089235306382</v>
      </c>
      <c r="E539" s="116">
        <v>95.032009741972658</v>
      </c>
      <c r="F539" s="116">
        <v>94.593919027785731</v>
      </c>
    </row>
    <row r="540" spans="1:6" x14ac:dyDescent="0.25">
      <c r="A540" s="252">
        <f t="shared" si="8"/>
        <v>524</v>
      </c>
      <c r="B540" s="116">
        <v>102.49191128160365</v>
      </c>
      <c r="C540" s="116">
        <v>99.844952632902604</v>
      </c>
      <c r="D540" s="116">
        <v>96.561495789647296</v>
      </c>
      <c r="E540" s="116">
        <v>93.151971664865897</v>
      </c>
      <c r="F540" s="116">
        <v>92.692372966783523</v>
      </c>
    </row>
    <row r="541" spans="1:6" x14ac:dyDescent="0.25">
      <c r="A541" s="252">
        <f t="shared" si="8"/>
        <v>525</v>
      </c>
      <c r="B541" s="116">
        <v>101.68032599460058</v>
      </c>
      <c r="C541" s="116">
        <v>99.763163969262877</v>
      </c>
      <c r="D541" s="116">
        <v>95.022797985673961</v>
      </c>
      <c r="E541" s="116">
        <v>95.625878251389764</v>
      </c>
      <c r="F541" s="116">
        <v>91.076507561310947</v>
      </c>
    </row>
    <row r="542" spans="1:6" x14ac:dyDescent="0.25">
      <c r="A542" s="252">
        <f t="shared" si="8"/>
        <v>526</v>
      </c>
      <c r="B542" s="116">
        <v>103.79220115574535</v>
      </c>
      <c r="C542" s="116">
        <v>98.891654435455408</v>
      </c>
      <c r="D542" s="116">
        <v>95.618409882256799</v>
      </c>
      <c r="E542" s="116">
        <v>94.760296100626576</v>
      </c>
      <c r="F542" s="116">
        <v>93.735956256674257</v>
      </c>
    </row>
    <row r="543" spans="1:6" x14ac:dyDescent="0.25">
      <c r="A543" s="252">
        <f t="shared" si="8"/>
        <v>527</v>
      </c>
      <c r="B543" s="116">
        <v>103.97275326110248</v>
      </c>
      <c r="C543" s="116">
        <v>97.983151168086351</v>
      </c>
      <c r="D543" s="116">
        <v>97.923680984024344</v>
      </c>
      <c r="E543" s="116">
        <v>92.983382579794167</v>
      </c>
      <c r="F543" s="116">
        <v>92.125461125681454</v>
      </c>
    </row>
    <row r="544" spans="1:6" x14ac:dyDescent="0.25">
      <c r="A544" s="252">
        <f t="shared" si="8"/>
        <v>528</v>
      </c>
      <c r="B544" s="116">
        <v>98.638975286396473</v>
      </c>
      <c r="C544" s="116">
        <v>97.730404197983461</v>
      </c>
      <c r="D544" s="116">
        <v>96.564838164851665</v>
      </c>
      <c r="E544" s="116">
        <v>94.508049503176636</v>
      </c>
      <c r="F544" s="116">
        <v>92.701267762369241</v>
      </c>
    </row>
    <row r="545" spans="1:6" x14ac:dyDescent="0.25">
      <c r="A545" s="252">
        <f t="shared" si="8"/>
        <v>529</v>
      </c>
      <c r="B545" s="116">
        <v>100.13310778599883</v>
      </c>
      <c r="C545" s="116">
        <v>98.31394066337171</v>
      </c>
      <c r="D545" s="116">
        <v>97.416207683524917</v>
      </c>
      <c r="E545" s="116">
        <v>94.709855224174802</v>
      </c>
      <c r="F545" s="116">
        <v>91.568310755243218</v>
      </c>
    </row>
    <row r="546" spans="1:6" x14ac:dyDescent="0.25">
      <c r="A546" s="252">
        <f t="shared" si="8"/>
        <v>530</v>
      </c>
      <c r="B546" s="116">
        <v>102.64121838857665</v>
      </c>
      <c r="C546" s="116">
        <v>97.195406333522115</v>
      </c>
      <c r="D546" s="116">
        <v>98.521581474112793</v>
      </c>
      <c r="E546" s="116">
        <v>94.008296771126112</v>
      </c>
      <c r="F546" s="116">
        <v>94.032050616113821</v>
      </c>
    </row>
    <row r="547" spans="1:6" x14ac:dyDescent="0.25">
      <c r="A547" s="252">
        <f t="shared" si="8"/>
        <v>531</v>
      </c>
      <c r="B547" s="116">
        <v>102.197337979388</v>
      </c>
      <c r="C547" s="116">
        <v>102.1688659846867</v>
      </c>
      <c r="D547" s="116">
        <v>95.844725743852578</v>
      </c>
      <c r="E547" s="116">
        <v>94.614458526771827</v>
      </c>
      <c r="F547" s="116">
        <v>93.645959370706365</v>
      </c>
    </row>
    <row r="548" spans="1:6" x14ac:dyDescent="0.25">
      <c r="A548" s="252">
        <f t="shared" si="8"/>
        <v>532</v>
      </c>
      <c r="B548" s="116">
        <v>96.773868292371503</v>
      </c>
      <c r="C548" s="116">
        <v>97.630492300768623</v>
      </c>
      <c r="D548" s="116">
        <v>98.418062530423782</v>
      </c>
      <c r="E548" s="116">
        <v>96.106635992642296</v>
      </c>
      <c r="F548" s="116">
        <v>91.980563996375167</v>
      </c>
    </row>
    <row r="549" spans="1:6" x14ac:dyDescent="0.25">
      <c r="A549" s="252">
        <f t="shared" si="8"/>
        <v>533</v>
      </c>
      <c r="B549" s="116">
        <v>102.63124855046429</v>
      </c>
      <c r="C549" s="116">
        <v>99.224920490871895</v>
      </c>
      <c r="D549" s="116">
        <v>95.876732534224033</v>
      </c>
      <c r="E549" s="116">
        <v>94.128981429223174</v>
      </c>
      <c r="F549" s="116">
        <v>90.358191659749139</v>
      </c>
    </row>
    <row r="550" spans="1:6" x14ac:dyDescent="0.25">
      <c r="A550" s="252">
        <f t="shared" si="8"/>
        <v>534</v>
      </c>
      <c r="B550" s="116">
        <v>102.85204661255136</v>
      </c>
      <c r="C550" s="116">
        <v>99.731246494349776</v>
      </c>
      <c r="D550" s="116">
        <v>95.574671033431784</v>
      </c>
      <c r="E550" s="116">
        <v>96.180959682854009</v>
      </c>
      <c r="F550" s="116">
        <v>93.342909466927921</v>
      </c>
    </row>
    <row r="551" spans="1:6" x14ac:dyDescent="0.25">
      <c r="A551" s="252">
        <f t="shared" si="8"/>
        <v>535</v>
      </c>
      <c r="B551" s="116">
        <v>100.93416716676866</v>
      </c>
      <c r="C551" s="116">
        <v>98.788647179737836</v>
      </c>
      <c r="D551" s="116">
        <v>96.18987373671753</v>
      </c>
      <c r="E551" s="116">
        <v>96.004212782523894</v>
      </c>
      <c r="F551" s="116">
        <v>92.312011536152426</v>
      </c>
    </row>
    <row r="552" spans="1:6" x14ac:dyDescent="0.25">
      <c r="A552" s="252">
        <f t="shared" si="8"/>
        <v>536</v>
      </c>
      <c r="B552" s="116">
        <v>103.41011398802048</v>
      </c>
      <c r="C552" s="116">
        <v>98.42866390773122</v>
      </c>
      <c r="D552" s="116">
        <v>98.162068192049631</v>
      </c>
      <c r="E552" s="116">
        <v>94.979759145668112</v>
      </c>
      <c r="F552" s="116">
        <v>92.375954065986122</v>
      </c>
    </row>
    <row r="553" spans="1:6" x14ac:dyDescent="0.25">
      <c r="A553" s="252">
        <f t="shared" si="8"/>
        <v>537</v>
      </c>
      <c r="B553" s="116">
        <v>100.87335727080331</v>
      </c>
      <c r="C553" s="116">
        <v>98.822187111596648</v>
      </c>
      <c r="D553" s="116">
        <v>97.533133779880643</v>
      </c>
      <c r="E553" s="116">
        <v>95.051086267830996</v>
      </c>
      <c r="F553" s="116">
        <v>92.080543871280383</v>
      </c>
    </row>
    <row r="554" spans="1:6" x14ac:dyDescent="0.25">
      <c r="A554" s="252">
        <f t="shared" si="8"/>
        <v>538</v>
      </c>
      <c r="B554" s="116">
        <v>98.024062362905212</v>
      </c>
      <c r="C554" s="116">
        <v>101.67915862326059</v>
      </c>
      <c r="D554" s="116">
        <v>95.919334302914336</v>
      </c>
      <c r="E554" s="116">
        <v>94.929174038230073</v>
      </c>
      <c r="F554" s="116">
        <v>93.614103301827342</v>
      </c>
    </row>
    <row r="555" spans="1:6" x14ac:dyDescent="0.25">
      <c r="A555" s="252">
        <f t="shared" si="8"/>
        <v>539</v>
      </c>
      <c r="B555" s="116">
        <v>104.1193524941103</v>
      </c>
      <c r="C555" s="116">
        <v>96.806135055231167</v>
      </c>
      <c r="D555" s="116">
        <v>97.615252017080138</v>
      </c>
      <c r="E555" s="116">
        <v>94.035925552727562</v>
      </c>
      <c r="F555" s="116">
        <v>93.089153951590816</v>
      </c>
    </row>
    <row r="556" spans="1:6" x14ac:dyDescent="0.25">
      <c r="A556" s="252">
        <f t="shared" si="8"/>
        <v>540</v>
      </c>
      <c r="B556" s="116">
        <v>100.7775012103058</v>
      </c>
      <c r="C556" s="116">
        <v>100.71917323579737</v>
      </c>
      <c r="D556" s="116">
        <v>97.69569050723149</v>
      </c>
      <c r="E556" s="116">
        <v>96.007701459854744</v>
      </c>
      <c r="F556" s="116">
        <v>94.827308644876737</v>
      </c>
    </row>
    <row r="557" spans="1:6" x14ac:dyDescent="0.25">
      <c r="A557" s="252">
        <f t="shared" si="8"/>
        <v>541</v>
      </c>
      <c r="B557" s="116">
        <v>104.38138447558623</v>
      </c>
      <c r="C557" s="116">
        <v>98.308664745195131</v>
      </c>
      <c r="D557" s="116">
        <v>97.240316488649384</v>
      </c>
      <c r="E557" s="116">
        <v>95.04965916310114</v>
      </c>
      <c r="F557" s="116">
        <v>91.655724567662901</v>
      </c>
    </row>
    <row r="558" spans="1:6" x14ac:dyDescent="0.25">
      <c r="A558" s="252">
        <f t="shared" si="8"/>
        <v>542</v>
      </c>
      <c r="B558" s="116">
        <v>103.0209551944823</v>
      </c>
      <c r="C558" s="116">
        <v>99.325796319163516</v>
      </c>
      <c r="D558" s="116">
        <v>97.151212654818053</v>
      </c>
      <c r="E558" s="116">
        <v>94.608243501859349</v>
      </c>
      <c r="F558" s="116">
        <v>92.72708496215742</v>
      </c>
    </row>
    <row r="559" spans="1:6" x14ac:dyDescent="0.25">
      <c r="A559" s="252">
        <f t="shared" si="8"/>
        <v>543</v>
      </c>
      <c r="B559" s="116">
        <v>103.95800197494569</v>
      </c>
      <c r="C559" s="116">
        <v>102.33575321397811</v>
      </c>
      <c r="D559" s="116">
        <v>98.474397669110687</v>
      </c>
      <c r="E559" s="116">
        <v>93.984355655104153</v>
      </c>
      <c r="F559" s="116">
        <v>93.378322451598208</v>
      </c>
    </row>
    <row r="560" spans="1:6" x14ac:dyDescent="0.25">
      <c r="A560" s="252">
        <f t="shared" si="8"/>
        <v>544</v>
      </c>
      <c r="B560" s="116">
        <v>101.81517970667387</v>
      </c>
      <c r="C560" s="116">
        <v>100.43818761903424</v>
      </c>
      <c r="D560" s="116">
        <v>98.367060845832555</v>
      </c>
      <c r="E560" s="116">
        <v>95.627375453686156</v>
      </c>
      <c r="F560" s="116">
        <v>93.012187193600653</v>
      </c>
    </row>
    <row r="561" spans="1:6" x14ac:dyDescent="0.25">
      <c r="A561" s="252">
        <f t="shared" si="8"/>
        <v>545</v>
      </c>
      <c r="B561" s="116">
        <v>102.96875258525215</v>
      </c>
      <c r="C561" s="116">
        <v>100.54115042325799</v>
      </c>
      <c r="D561" s="116">
        <v>97.220234899805774</v>
      </c>
      <c r="E561" s="116">
        <v>96.345514379875397</v>
      </c>
      <c r="F561" s="116">
        <v>94.945861013979965</v>
      </c>
    </row>
    <row r="562" spans="1:6" x14ac:dyDescent="0.25">
      <c r="A562" s="252">
        <f t="shared" si="8"/>
        <v>546</v>
      </c>
      <c r="B562" s="116">
        <v>101.80442936745939</v>
      </c>
      <c r="C562" s="116">
        <v>100.30140160950116</v>
      </c>
      <c r="D562" s="116">
        <v>96.803277786299375</v>
      </c>
      <c r="E562" s="116">
        <v>94.499199819799912</v>
      </c>
      <c r="F562" s="116">
        <v>92.676551030435363</v>
      </c>
    </row>
    <row r="563" spans="1:6" x14ac:dyDescent="0.25">
      <c r="A563" s="252">
        <f t="shared" si="8"/>
        <v>547</v>
      </c>
      <c r="B563" s="116">
        <v>103.83569187072196</v>
      </c>
      <c r="C563" s="116">
        <v>99.663087244290352</v>
      </c>
      <c r="D563" s="116">
        <v>96.067344890211444</v>
      </c>
      <c r="E563" s="116">
        <v>94.878354858681789</v>
      </c>
      <c r="F563" s="116">
        <v>93.508841231831724</v>
      </c>
    </row>
    <row r="564" spans="1:6" x14ac:dyDescent="0.25">
      <c r="A564" s="252">
        <f t="shared" si="8"/>
        <v>548</v>
      </c>
      <c r="B564" s="116">
        <v>103.15316482247175</v>
      </c>
      <c r="C564" s="116">
        <v>99.628795157235388</v>
      </c>
      <c r="D564" s="116">
        <v>97.359401402722696</v>
      </c>
      <c r="E564" s="116">
        <v>96.660778553052012</v>
      </c>
      <c r="F564" s="116">
        <v>91.355643506856651</v>
      </c>
    </row>
    <row r="565" spans="1:6" x14ac:dyDescent="0.25">
      <c r="A565" s="252">
        <f t="shared" si="8"/>
        <v>549</v>
      </c>
      <c r="B565" s="116">
        <v>103.66610591065741</v>
      </c>
      <c r="C565" s="116">
        <v>100.63905440598964</v>
      </c>
      <c r="D565" s="116">
        <v>97.142039008118061</v>
      </c>
      <c r="E565" s="116">
        <v>95.705097024196505</v>
      </c>
      <c r="F565" s="116">
        <v>94.336532511752807</v>
      </c>
    </row>
    <row r="566" spans="1:6" x14ac:dyDescent="0.25">
      <c r="A566" s="252">
        <f t="shared" si="8"/>
        <v>550</v>
      </c>
      <c r="B566" s="116">
        <v>100.03204288533534</v>
      </c>
      <c r="C566" s="116">
        <v>100.26875869647873</v>
      </c>
      <c r="D566" s="116">
        <v>96.200636548769879</v>
      </c>
      <c r="E566" s="116">
        <v>95.801840668387939</v>
      </c>
      <c r="F566" s="116">
        <v>91.576167903473134</v>
      </c>
    </row>
    <row r="567" spans="1:6" x14ac:dyDescent="0.25">
      <c r="A567" s="252">
        <f t="shared" si="8"/>
        <v>551</v>
      </c>
      <c r="B567" s="116">
        <v>104.18502489582566</v>
      </c>
      <c r="C567" s="116">
        <v>98.873808649817704</v>
      </c>
      <c r="D567" s="116">
        <v>97.97253345501548</v>
      </c>
      <c r="E567" s="116">
        <v>93.317477605380873</v>
      </c>
      <c r="F567" s="116">
        <v>93.243563583339096</v>
      </c>
    </row>
    <row r="568" spans="1:6" x14ac:dyDescent="0.25">
      <c r="A568" s="252">
        <f t="shared" si="8"/>
        <v>552</v>
      </c>
      <c r="B568" s="116">
        <v>100.82115982020308</v>
      </c>
      <c r="C568" s="116">
        <v>99.339924793590725</v>
      </c>
      <c r="D568" s="116">
        <v>96.546757262024357</v>
      </c>
      <c r="E568" s="116">
        <v>95.11093703824082</v>
      </c>
      <c r="F568" s="116">
        <v>93.856074783276554</v>
      </c>
    </row>
    <row r="569" spans="1:6" x14ac:dyDescent="0.25">
      <c r="A569" s="252">
        <f t="shared" si="8"/>
        <v>553</v>
      </c>
      <c r="B569" s="116">
        <v>101.38042912937115</v>
      </c>
      <c r="C569" s="116">
        <v>101.7117373489545</v>
      </c>
      <c r="D569" s="116">
        <v>96.155474219558329</v>
      </c>
      <c r="E569" s="116">
        <v>94.433631522851599</v>
      </c>
      <c r="F569" s="116">
        <v>92.350622162805664</v>
      </c>
    </row>
    <row r="570" spans="1:6" x14ac:dyDescent="0.25">
      <c r="A570" s="252">
        <f t="shared" si="8"/>
        <v>554</v>
      </c>
      <c r="B570" s="116">
        <v>102.90803281535018</v>
      </c>
      <c r="C570" s="116">
        <v>97.071215703054662</v>
      </c>
      <c r="D570" s="116">
        <v>97.245113327515782</v>
      </c>
      <c r="E570" s="116">
        <v>94.974232354227837</v>
      </c>
      <c r="F570" s="116">
        <v>93.61635923730033</v>
      </c>
    </row>
    <row r="571" spans="1:6" x14ac:dyDescent="0.25">
      <c r="A571" s="252">
        <f t="shared" si="8"/>
        <v>555</v>
      </c>
      <c r="B571" s="116">
        <v>99.679337913121643</v>
      </c>
      <c r="C571" s="116">
        <v>96.220298612927849</v>
      </c>
      <c r="D571" s="116">
        <v>96.788057900178785</v>
      </c>
      <c r="E571" s="116">
        <v>95.515043640174952</v>
      </c>
      <c r="F571" s="116">
        <v>92.904587893127498</v>
      </c>
    </row>
    <row r="572" spans="1:6" x14ac:dyDescent="0.25">
      <c r="A572" s="252">
        <f t="shared" si="8"/>
        <v>556</v>
      </c>
      <c r="B572" s="116">
        <v>99.121400695996357</v>
      </c>
      <c r="C572" s="116">
        <v>97.131616541112436</v>
      </c>
      <c r="D572" s="116">
        <v>94.59313613542534</v>
      </c>
      <c r="E572" s="116">
        <v>95.470742248036458</v>
      </c>
      <c r="F572" s="116">
        <v>94.510584860504892</v>
      </c>
    </row>
    <row r="573" spans="1:6" x14ac:dyDescent="0.25">
      <c r="A573" s="252">
        <f t="shared" si="8"/>
        <v>557</v>
      </c>
      <c r="B573" s="116">
        <v>102.3436464298772</v>
      </c>
      <c r="C573" s="116">
        <v>98.748287416396593</v>
      </c>
      <c r="D573" s="116">
        <v>99.145611932089338</v>
      </c>
      <c r="E573" s="116">
        <v>95.566373894762634</v>
      </c>
      <c r="F573" s="116">
        <v>93.210563805786734</v>
      </c>
    </row>
    <row r="574" spans="1:6" x14ac:dyDescent="0.25">
      <c r="A574" s="252">
        <f t="shared" si="8"/>
        <v>558</v>
      </c>
      <c r="B574" s="116">
        <v>98.934317128243848</v>
      </c>
      <c r="C574" s="116">
        <v>98.705018597528692</v>
      </c>
      <c r="D574" s="116">
        <v>97.473366112943324</v>
      </c>
      <c r="E574" s="116">
        <v>95.57624031756275</v>
      </c>
      <c r="F574" s="116">
        <v>93.934413134308855</v>
      </c>
    </row>
    <row r="575" spans="1:6" x14ac:dyDescent="0.25">
      <c r="A575" s="252">
        <f t="shared" si="8"/>
        <v>559</v>
      </c>
      <c r="B575" s="116">
        <v>106.27111360576568</v>
      </c>
      <c r="C575" s="116">
        <v>98.768020390229424</v>
      </c>
      <c r="D575" s="116">
        <v>97.470327379310021</v>
      </c>
      <c r="E575" s="116">
        <v>95.279362779962298</v>
      </c>
      <c r="F575" s="116">
        <v>92.529762299728858</v>
      </c>
    </row>
    <row r="576" spans="1:6" x14ac:dyDescent="0.25">
      <c r="A576" s="252">
        <f t="shared" si="8"/>
        <v>560</v>
      </c>
      <c r="B576" s="116">
        <v>106.40500237635449</v>
      </c>
      <c r="C576" s="116">
        <v>99.55874711335855</v>
      </c>
      <c r="D576" s="116">
        <v>94.15955982194923</v>
      </c>
      <c r="E576" s="116">
        <v>96.144295795790256</v>
      </c>
      <c r="F576" s="116">
        <v>92.873869009817</v>
      </c>
    </row>
    <row r="577" spans="1:6" x14ac:dyDescent="0.25">
      <c r="A577" s="252">
        <f t="shared" si="8"/>
        <v>561</v>
      </c>
      <c r="B577" s="116">
        <v>100.65963240693769</v>
      </c>
      <c r="C577" s="116">
        <v>97.105395385437859</v>
      </c>
      <c r="D577" s="116">
        <v>94.724855896115088</v>
      </c>
      <c r="E577" s="116">
        <v>95.551430409426231</v>
      </c>
      <c r="F577" s="116">
        <v>92.890298756962736</v>
      </c>
    </row>
    <row r="578" spans="1:6" x14ac:dyDescent="0.25">
      <c r="A578" s="252">
        <f t="shared" si="8"/>
        <v>562</v>
      </c>
      <c r="B578" s="116">
        <v>99.279900398698828</v>
      </c>
      <c r="C578" s="116">
        <v>98.709429895532182</v>
      </c>
      <c r="D578" s="116">
        <v>99.575446815688892</v>
      </c>
      <c r="E578" s="116">
        <v>93.718835783554439</v>
      </c>
      <c r="F578" s="116">
        <v>93.345053618200041</v>
      </c>
    </row>
    <row r="579" spans="1:6" x14ac:dyDescent="0.25">
      <c r="A579" s="252">
        <f t="shared" si="8"/>
        <v>563</v>
      </c>
      <c r="B579" s="116">
        <v>105.93314799635688</v>
      </c>
      <c r="C579" s="116">
        <v>100.05073185404991</v>
      </c>
      <c r="D579" s="116">
        <v>98.322366784796102</v>
      </c>
      <c r="E579" s="116">
        <v>96.782678590841172</v>
      </c>
      <c r="F579" s="116">
        <v>92.493263413220674</v>
      </c>
    </row>
    <row r="580" spans="1:6" x14ac:dyDescent="0.25">
      <c r="A580" s="252">
        <f t="shared" si="8"/>
        <v>564</v>
      </c>
      <c r="B580" s="116">
        <v>102.29079751862113</v>
      </c>
      <c r="C580" s="116">
        <v>97.847995592277655</v>
      </c>
      <c r="D580" s="116">
        <v>98.924779635626734</v>
      </c>
      <c r="E580" s="116">
        <v>96.262464806200938</v>
      </c>
      <c r="F580" s="116">
        <v>92.790027848375715</v>
      </c>
    </row>
    <row r="581" spans="1:6" x14ac:dyDescent="0.25">
      <c r="A581" s="252">
        <f t="shared" si="8"/>
        <v>565</v>
      </c>
      <c r="B581" s="116">
        <v>99.260970941514557</v>
      </c>
      <c r="C581" s="116">
        <v>100.88143806774909</v>
      </c>
      <c r="D581" s="116">
        <v>98.706130371056418</v>
      </c>
      <c r="E581" s="116">
        <v>96.03798973944798</v>
      </c>
      <c r="F581" s="116">
        <v>91.765972722695082</v>
      </c>
    </row>
    <row r="582" spans="1:6" x14ac:dyDescent="0.25">
      <c r="A582" s="252">
        <f t="shared" si="8"/>
        <v>566</v>
      </c>
      <c r="B582" s="116">
        <v>103.21884122716592</v>
      </c>
      <c r="C582" s="116">
        <v>98.26887456659091</v>
      </c>
      <c r="D582" s="116">
        <v>96.51937057522359</v>
      </c>
      <c r="E582" s="116">
        <v>94.181109087551931</v>
      </c>
      <c r="F582" s="116">
        <v>93.198211229437078</v>
      </c>
    </row>
    <row r="583" spans="1:6" x14ac:dyDescent="0.25">
      <c r="A583" s="252">
        <f t="shared" si="8"/>
        <v>567</v>
      </c>
      <c r="B583" s="116">
        <v>103.84697505173756</v>
      </c>
      <c r="C583" s="116">
        <v>99.731618710576683</v>
      </c>
      <c r="D583" s="116">
        <v>97.776534879542666</v>
      </c>
      <c r="E583" s="116">
        <v>94.237896515129236</v>
      </c>
      <c r="F583" s="116">
        <v>91.885590847034408</v>
      </c>
    </row>
    <row r="584" spans="1:6" x14ac:dyDescent="0.25">
      <c r="A584" s="252">
        <f t="shared" si="8"/>
        <v>568</v>
      </c>
      <c r="B584" s="116">
        <v>103.38473719713767</v>
      </c>
      <c r="C584" s="116">
        <v>97.371588017129653</v>
      </c>
      <c r="D584" s="116">
        <v>94.598345013861945</v>
      </c>
      <c r="E584" s="116">
        <v>95.28121362596481</v>
      </c>
      <c r="F584" s="116">
        <v>91.919339567926215</v>
      </c>
    </row>
    <row r="585" spans="1:6" x14ac:dyDescent="0.25">
      <c r="A585" s="252">
        <f t="shared" si="8"/>
        <v>569</v>
      </c>
      <c r="B585" s="116">
        <v>97.844015740049983</v>
      </c>
      <c r="C585" s="116">
        <v>99.648723514581022</v>
      </c>
      <c r="D585" s="116">
        <v>94.973357047860205</v>
      </c>
      <c r="E585" s="116">
        <v>95.088602157314597</v>
      </c>
      <c r="F585" s="116">
        <v>92.350501047064398</v>
      </c>
    </row>
    <row r="586" spans="1:6" x14ac:dyDescent="0.25">
      <c r="A586" s="252">
        <f t="shared" si="8"/>
        <v>570</v>
      </c>
      <c r="B586" s="116">
        <v>100.40899485210299</v>
      </c>
      <c r="C586" s="116">
        <v>99.508447772402548</v>
      </c>
      <c r="D586" s="116">
        <v>99.393452141042218</v>
      </c>
      <c r="E586" s="116">
        <v>96.425969580882239</v>
      </c>
      <c r="F586" s="116">
        <v>94.46616859708449</v>
      </c>
    </row>
    <row r="587" spans="1:6" x14ac:dyDescent="0.25">
      <c r="A587" s="252">
        <f t="shared" si="8"/>
        <v>571</v>
      </c>
      <c r="B587" s="116">
        <v>104.93878593495296</v>
      </c>
      <c r="C587" s="116">
        <v>99.854132621643728</v>
      </c>
      <c r="D587" s="116">
        <v>96.845741261289646</v>
      </c>
      <c r="E587" s="116">
        <v>95.509228820812922</v>
      </c>
      <c r="F587" s="116">
        <v>92.249589105857027</v>
      </c>
    </row>
    <row r="588" spans="1:6" x14ac:dyDescent="0.25">
      <c r="A588" s="252">
        <f t="shared" si="8"/>
        <v>572</v>
      </c>
      <c r="B588" s="116">
        <v>99.853472388608296</v>
      </c>
      <c r="C588" s="116">
        <v>98.550131178852027</v>
      </c>
      <c r="D588" s="116">
        <v>97.232028097606985</v>
      </c>
      <c r="E588" s="116">
        <v>94.605813471855186</v>
      </c>
      <c r="F588" s="116">
        <v>93.933950809010696</v>
      </c>
    </row>
    <row r="589" spans="1:6" x14ac:dyDescent="0.25">
      <c r="A589" s="252">
        <f t="shared" si="8"/>
        <v>573</v>
      </c>
      <c r="B589" s="116">
        <v>101.14045422064238</v>
      </c>
      <c r="C589" s="116">
        <v>97.571379996538738</v>
      </c>
      <c r="D589" s="116">
        <v>97.078564069235</v>
      </c>
      <c r="E589" s="116">
        <v>95.290059397810509</v>
      </c>
      <c r="F589" s="116">
        <v>93.056310946964544</v>
      </c>
    </row>
    <row r="590" spans="1:6" x14ac:dyDescent="0.25">
      <c r="A590" s="252">
        <f t="shared" si="8"/>
        <v>574</v>
      </c>
      <c r="B590" s="116">
        <v>98.580783258972275</v>
      </c>
      <c r="C590" s="116">
        <v>99.689537359297333</v>
      </c>
      <c r="D590" s="116">
        <v>97.659459573435569</v>
      </c>
      <c r="E590" s="116">
        <v>94.829594589373713</v>
      </c>
      <c r="F590" s="116">
        <v>93.234528558529561</v>
      </c>
    </row>
    <row r="591" spans="1:6" x14ac:dyDescent="0.25">
      <c r="A591" s="252">
        <f t="shared" si="8"/>
        <v>575</v>
      </c>
      <c r="B591" s="116">
        <v>105.40839579232481</v>
      </c>
      <c r="C591" s="116">
        <v>99.515273009910217</v>
      </c>
      <c r="D591" s="116">
        <v>96.824120271288564</v>
      </c>
      <c r="E591" s="116">
        <v>94.180980824196183</v>
      </c>
      <c r="F591" s="116">
        <v>93.661674336913634</v>
      </c>
    </row>
    <row r="592" spans="1:6" x14ac:dyDescent="0.25">
      <c r="A592" s="252">
        <f t="shared" si="8"/>
        <v>576</v>
      </c>
      <c r="B592" s="116">
        <v>100.25555744893661</v>
      </c>
      <c r="C592" s="116">
        <v>100.45663112763815</v>
      </c>
      <c r="D592" s="116">
        <v>98.638879868782922</v>
      </c>
      <c r="E592" s="116">
        <v>95.572557603820272</v>
      </c>
      <c r="F592" s="116">
        <v>92.655542973852405</v>
      </c>
    </row>
    <row r="593" spans="1:6" x14ac:dyDescent="0.25">
      <c r="A593" s="252">
        <f t="shared" si="8"/>
        <v>577</v>
      </c>
      <c r="B593" s="116">
        <v>99.281861853565871</v>
      </c>
      <c r="C593" s="116">
        <v>100.03596305512909</v>
      </c>
      <c r="D593" s="116">
        <v>93.396298853569192</v>
      </c>
      <c r="E593" s="116">
        <v>93.038808181294129</v>
      </c>
      <c r="F593" s="116">
        <v>94.242430915923478</v>
      </c>
    </row>
    <row r="594" spans="1:6" x14ac:dyDescent="0.25">
      <c r="A594" s="252">
        <f t="shared" si="8"/>
        <v>578</v>
      </c>
      <c r="B594" s="116">
        <v>99.230039800283024</v>
      </c>
      <c r="C594" s="116">
        <v>100.534533045186</v>
      </c>
      <c r="D594" s="116">
        <v>95.167958461082321</v>
      </c>
      <c r="E594" s="116">
        <v>93.225120228624704</v>
      </c>
      <c r="F594" s="116">
        <v>93.285065708312132</v>
      </c>
    </row>
    <row r="595" spans="1:6" x14ac:dyDescent="0.25">
      <c r="A595" s="252">
        <f t="shared" ref="A595:A658" si="9">+A594+1</f>
        <v>579</v>
      </c>
      <c r="B595" s="116">
        <v>105.24497437210857</v>
      </c>
      <c r="C595" s="116">
        <v>99.964607750421067</v>
      </c>
      <c r="D595" s="116">
        <v>96.74350737117031</v>
      </c>
      <c r="E595" s="116">
        <v>94.558078656475502</v>
      </c>
      <c r="F595" s="116">
        <v>90.068342343648709</v>
      </c>
    </row>
    <row r="596" spans="1:6" x14ac:dyDescent="0.25">
      <c r="A596" s="252">
        <f t="shared" si="9"/>
        <v>580</v>
      </c>
      <c r="B596" s="116">
        <v>102.43615308030915</v>
      </c>
      <c r="C596" s="116">
        <v>100.5724302480965</v>
      </c>
      <c r="D596" s="116">
        <v>97.898975755014746</v>
      </c>
      <c r="E596" s="116">
        <v>95.483911258108975</v>
      </c>
      <c r="F596" s="116">
        <v>93.580184376465837</v>
      </c>
    </row>
    <row r="597" spans="1:6" x14ac:dyDescent="0.25">
      <c r="A597" s="252">
        <f t="shared" si="9"/>
        <v>581</v>
      </c>
      <c r="B597" s="116">
        <v>103.39465783351682</v>
      </c>
      <c r="C597" s="116">
        <v>100.44173143604682</v>
      </c>
      <c r="D597" s="116">
        <v>98.025939192678237</v>
      </c>
      <c r="E597" s="116">
        <v>94.39875879789949</v>
      </c>
      <c r="F597" s="116">
        <v>93.034164625139383</v>
      </c>
    </row>
    <row r="598" spans="1:6" x14ac:dyDescent="0.25">
      <c r="A598" s="252">
        <f t="shared" si="9"/>
        <v>582</v>
      </c>
      <c r="B598" s="116">
        <v>104.28513622343711</v>
      </c>
      <c r="C598" s="116">
        <v>99.237632202445084</v>
      </c>
      <c r="D598" s="116">
        <v>96.264413978830177</v>
      </c>
      <c r="E598" s="116">
        <v>93.885622884014069</v>
      </c>
      <c r="F598" s="116">
        <v>92.124913147118292</v>
      </c>
    </row>
    <row r="599" spans="1:6" x14ac:dyDescent="0.25">
      <c r="A599" s="252">
        <f t="shared" si="9"/>
        <v>583</v>
      </c>
      <c r="B599" s="116">
        <v>99.207502313756066</v>
      </c>
      <c r="C599" s="116">
        <v>96.836402993330012</v>
      </c>
      <c r="D599" s="116">
        <v>96.03618758172027</v>
      </c>
      <c r="E599" s="116">
        <v>97.302219354356794</v>
      </c>
      <c r="F599" s="116">
        <v>93.064405510227175</v>
      </c>
    </row>
    <row r="600" spans="1:6" x14ac:dyDescent="0.25">
      <c r="A600" s="252">
        <f t="shared" si="9"/>
        <v>584</v>
      </c>
      <c r="B600" s="116">
        <v>103.44803749048116</v>
      </c>
      <c r="C600" s="116">
        <v>101.54399494855159</v>
      </c>
      <c r="D600" s="116">
        <v>98.644006497171233</v>
      </c>
      <c r="E600" s="116">
        <v>96.357444046940955</v>
      </c>
      <c r="F600" s="116">
        <v>91.589564669384302</v>
      </c>
    </row>
    <row r="601" spans="1:6" x14ac:dyDescent="0.25">
      <c r="A601" s="252">
        <f t="shared" si="9"/>
        <v>585</v>
      </c>
      <c r="B601" s="116">
        <v>102.24881592404431</v>
      </c>
      <c r="C601" s="116">
        <v>99.420967083613945</v>
      </c>
      <c r="D601" s="116">
        <v>96.358497386282593</v>
      </c>
      <c r="E601" s="116">
        <v>93.493652112406266</v>
      </c>
      <c r="F601" s="116">
        <v>93.016510744804322</v>
      </c>
    </row>
    <row r="602" spans="1:6" x14ac:dyDescent="0.25">
      <c r="A602" s="252">
        <f t="shared" si="9"/>
        <v>586</v>
      </c>
      <c r="B602" s="116">
        <v>104.37259445342755</v>
      </c>
      <c r="C602" s="116">
        <v>100.78482319593054</v>
      </c>
      <c r="D602" s="116">
        <v>98.68770720133422</v>
      </c>
      <c r="E602" s="116">
        <v>95.224340331351883</v>
      </c>
      <c r="F602" s="116">
        <v>93.553153257438225</v>
      </c>
    </row>
    <row r="603" spans="1:6" x14ac:dyDescent="0.25">
      <c r="A603" s="252">
        <f t="shared" si="9"/>
        <v>587</v>
      </c>
      <c r="B603" s="116">
        <v>105.75689774361963</v>
      </c>
      <c r="C603" s="116">
        <v>102.30029958624573</v>
      </c>
      <c r="D603" s="116">
        <v>93.937195767235636</v>
      </c>
      <c r="E603" s="116">
        <v>92.744713278672791</v>
      </c>
      <c r="F603" s="116">
        <v>93.521284439447342</v>
      </c>
    </row>
    <row r="604" spans="1:6" x14ac:dyDescent="0.25">
      <c r="A604" s="252">
        <f t="shared" si="9"/>
        <v>588</v>
      </c>
      <c r="B604" s="116">
        <v>103.43843245441447</v>
      </c>
      <c r="C604" s="116">
        <v>100.36051967733262</v>
      </c>
      <c r="D604" s="116">
        <v>94.046864492981342</v>
      </c>
      <c r="E604" s="116">
        <v>94.54495619883528</v>
      </c>
      <c r="F604" s="116">
        <v>93.918751335929215</v>
      </c>
    </row>
    <row r="605" spans="1:6" x14ac:dyDescent="0.25">
      <c r="A605" s="252">
        <f t="shared" si="9"/>
        <v>589</v>
      </c>
      <c r="B605" s="116">
        <v>102.57901891121324</v>
      </c>
      <c r="C605" s="116">
        <v>102.36203173014445</v>
      </c>
      <c r="D605" s="116">
        <v>94.435742375571579</v>
      </c>
      <c r="E605" s="116">
        <v>93.753952584410129</v>
      </c>
      <c r="F605" s="116">
        <v>93.813304931352477</v>
      </c>
    </row>
    <row r="606" spans="1:6" x14ac:dyDescent="0.25">
      <c r="A606" s="252">
        <f t="shared" si="9"/>
        <v>590</v>
      </c>
      <c r="B606" s="116">
        <v>102.5644850501927</v>
      </c>
      <c r="C606" s="116">
        <v>99.609152764815377</v>
      </c>
      <c r="D606" s="116">
        <v>97.642694303076581</v>
      </c>
      <c r="E606" s="116">
        <v>97.632418269928465</v>
      </c>
      <c r="F606" s="116">
        <v>93.182792565365261</v>
      </c>
    </row>
    <row r="607" spans="1:6" x14ac:dyDescent="0.25">
      <c r="A607" s="252">
        <f t="shared" si="9"/>
        <v>591</v>
      </c>
      <c r="B607" s="116">
        <v>102.76928243234657</v>
      </c>
      <c r="C607" s="116">
        <v>99.705627240817677</v>
      </c>
      <c r="D607" s="116">
        <v>98.343792278774927</v>
      </c>
      <c r="E607" s="116">
        <v>95.684798612195891</v>
      </c>
      <c r="F607" s="116">
        <v>94.670796632903802</v>
      </c>
    </row>
    <row r="608" spans="1:6" x14ac:dyDescent="0.25">
      <c r="A608" s="252">
        <f t="shared" si="9"/>
        <v>592</v>
      </c>
      <c r="B608" s="116">
        <v>105.5619212319028</v>
      </c>
      <c r="C608" s="116">
        <v>99.870246445356926</v>
      </c>
      <c r="D608" s="116">
        <v>96.778257876594537</v>
      </c>
      <c r="E608" s="116">
        <v>96.872048670756598</v>
      </c>
      <c r="F608" s="116">
        <v>93.579055965103862</v>
      </c>
    </row>
    <row r="609" spans="1:6" x14ac:dyDescent="0.25">
      <c r="A609" s="252">
        <f t="shared" si="9"/>
        <v>593</v>
      </c>
      <c r="B609" s="116">
        <v>101.48803906623996</v>
      </c>
      <c r="C609" s="116">
        <v>96.735187703348501</v>
      </c>
      <c r="D609" s="116">
        <v>97.220592338388471</v>
      </c>
      <c r="E609" s="116">
        <v>95.424797627878533</v>
      </c>
      <c r="F609" s="116">
        <v>94.676238067474827</v>
      </c>
    </row>
    <row r="610" spans="1:6" x14ac:dyDescent="0.25">
      <c r="A610" s="252">
        <f t="shared" si="9"/>
        <v>594</v>
      </c>
      <c r="B610" s="116">
        <v>102.49484654351846</v>
      </c>
      <c r="C610" s="116">
        <v>99.305934872494475</v>
      </c>
      <c r="D610" s="116">
        <v>100.38026383723063</v>
      </c>
      <c r="E610" s="116">
        <v>96.797017441513077</v>
      </c>
      <c r="F610" s="116">
        <v>93.500071490084423</v>
      </c>
    </row>
    <row r="611" spans="1:6" x14ac:dyDescent="0.25">
      <c r="A611" s="252">
        <f t="shared" si="9"/>
        <v>595</v>
      </c>
      <c r="B611" s="116">
        <v>100.78923339281619</v>
      </c>
      <c r="C611" s="116">
        <v>100.39150332335448</v>
      </c>
      <c r="D611" s="116">
        <v>98.029505444975939</v>
      </c>
      <c r="E611" s="116">
        <v>96.48744509027027</v>
      </c>
      <c r="F611" s="116">
        <v>93.191158147111537</v>
      </c>
    </row>
    <row r="612" spans="1:6" x14ac:dyDescent="0.25">
      <c r="A612" s="252">
        <f t="shared" si="9"/>
        <v>596</v>
      </c>
      <c r="B612" s="116">
        <v>99.936586095787149</v>
      </c>
      <c r="C612" s="116">
        <v>99.41456076894859</v>
      </c>
      <c r="D612" s="116">
        <v>99.55076439068479</v>
      </c>
      <c r="E612" s="116">
        <v>95.286359397677387</v>
      </c>
      <c r="F612" s="116">
        <v>93.220146647395211</v>
      </c>
    </row>
    <row r="613" spans="1:6" x14ac:dyDescent="0.25">
      <c r="A613" s="252">
        <f t="shared" si="9"/>
        <v>597</v>
      </c>
      <c r="B613" s="116">
        <v>101.53354177222155</v>
      </c>
      <c r="C613" s="116">
        <v>97.266918976269992</v>
      </c>
      <c r="D613" s="116">
        <v>97.761597116420191</v>
      </c>
      <c r="E613" s="116">
        <v>94.662590065589583</v>
      </c>
      <c r="F613" s="116">
        <v>93.132746230282251</v>
      </c>
    </row>
    <row r="614" spans="1:6" x14ac:dyDescent="0.25">
      <c r="A614" s="252">
        <f t="shared" si="9"/>
        <v>598</v>
      </c>
      <c r="B614" s="116">
        <v>105.84062513805297</v>
      </c>
      <c r="C614" s="116">
        <v>100.61532012085246</v>
      </c>
      <c r="D614" s="116">
        <v>96.182538414389882</v>
      </c>
      <c r="E614" s="116">
        <v>96.667855416935978</v>
      </c>
      <c r="F614" s="116">
        <v>93.432460685258519</v>
      </c>
    </row>
    <row r="615" spans="1:6" x14ac:dyDescent="0.25">
      <c r="A615" s="252">
        <f t="shared" si="9"/>
        <v>599</v>
      </c>
      <c r="B615" s="116">
        <v>103.29509158366203</v>
      </c>
      <c r="C615" s="116">
        <v>99.910155121640045</v>
      </c>
      <c r="D615" s="116">
        <v>98.443435312694632</v>
      </c>
      <c r="E615" s="116">
        <v>95.018290393964605</v>
      </c>
      <c r="F615" s="116">
        <v>93.728815990958978</v>
      </c>
    </row>
    <row r="616" spans="1:6" x14ac:dyDescent="0.25">
      <c r="A616" s="252">
        <f t="shared" si="9"/>
        <v>600</v>
      </c>
      <c r="B616" s="116">
        <v>100.52302346346544</v>
      </c>
      <c r="C616" s="116">
        <v>98.050284184490678</v>
      </c>
      <c r="D616" s="116">
        <v>94.007432804176688</v>
      </c>
      <c r="E616" s="116">
        <v>95.830316866968403</v>
      </c>
      <c r="F616" s="116">
        <v>92.892908922309587</v>
      </c>
    </row>
    <row r="617" spans="1:6" x14ac:dyDescent="0.25">
      <c r="A617" s="252">
        <f t="shared" si="9"/>
        <v>601</v>
      </c>
      <c r="B617" s="116">
        <v>105.357868955749</v>
      </c>
      <c r="C617" s="116">
        <v>96.915739018493554</v>
      </c>
      <c r="D617" s="116">
        <v>97.82170038551962</v>
      </c>
      <c r="E617" s="116">
        <v>95.263490502165652</v>
      </c>
      <c r="F617" s="116">
        <v>93.399121287044807</v>
      </c>
    </row>
    <row r="618" spans="1:6" x14ac:dyDescent="0.25">
      <c r="A618" s="252">
        <f t="shared" si="9"/>
        <v>602</v>
      </c>
      <c r="B618" s="116">
        <v>102.75407202338147</v>
      </c>
      <c r="C618" s="116">
        <v>97.215249919051985</v>
      </c>
      <c r="D618" s="116">
        <v>98.034382778956001</v>
      </c>
      <c r="E618" s="116">
        <v>95.494273575012855</v>
      </c>
      <c r="F618" s="116">
        <v>91.230613761450897</v>
      </c>
    </row>
    <row r="619" spans="1:6" x14ac:dyDescent="0.25">
      <c r="A619" s="252">
        <f t="shared" si="9"/>
        <v>603</v>
      </c>
      <c r="B619" s="116">
        <v>100.55832282456396</v>
      </c>
      <c r="C619" s="116">
        <v>98.557474306179571</v>
      </c>
      <c r="D619" s="116">
        <v>96.985183450631226</v>
      </c>
      <c r="E619" s="116">
        <v>95.39017958117789</v>
      </c>
      <c r="F619" s="116">
        <v>93.306906929438469</v>
      </c>
    </row>
    <row r="620" spans="1:6" x14ac:dyDescent="0.25">
      <c r="A620" s="252">
        <f t="shared" si="9"/>
        <v>604</v>
      </c>
      <c r="B620" s="116">
        <v>96.974169991165382</v>
      </c>
      <c r="C620" s="116">
        <v>98.685578589954019</v>
      </c>
      <c r="D620" s="116">
        <v>94.128435544674716</v>
      </c>
      <c r="E620" s="116">
        <v>94.40356450860439</v>
      </c>
      <c r="F620" s="116">
        <v>92.710978242749661</v>
      </c>
    </row>
    <row r="621" spans="1:6" x14ac:dyDescent="0.25">
      <c r="A621" s="252">
        <f t="shared" si="9"/>
        <v>605</v>
      </c>
      <c r="B621" s="116">
        <v>102.94719893715671</v>
      </c>
      <c r="C621" s="116">
        <v>98.907444916114713</v>
      </c>
      <c r="D621" s="116">
        <v>96.681567355288834</v>
      </c>
      <c r="E621" s="116">
        <v>97.466474049515568</v>
      </c>
      <c r="F621" s="116">
        <v>92.308736070201206</v>
      </c>
    </row>
    <row r="622" spans="1:6" x14ac:dyDescent="0.25">
      <c r="A622" s="252">
        <f t="shared" si="9"/>
        <v>606</v>
      </c>
      <c r="B622" s="116">
        <v>103.13776982843693</v>
      </c>
      <c r="C622" s="116">
        <v>98.17557142563021</v>
      </c>
      <c r="D622" s="116">
        <v>95.611347429720652</v>
      </c>
      <c r="E622" s="116">
        <v>96.543369198034739</v>
      </c>
      <c r="F622" s="116">
        <v>93.048086134217925</v>
      </c>
    </row>
    <row r="623" spans="1:6" x14ac:dyDescent="0.25">
      <c r="A623" s="252">
        <f t="shared" si="9"/>
        <v>607</v>
      </c>
      <c r="B623" s="116">
        <v>102.05275566933572</v>
      </c>
      <c r="C623" s="116">
        <v>100.40322497153856</v>
      </c>
      <c r="D623" s="116">
        <v>99.054156621814499</v>
      </c>
      <c r="E623" s="116">
        <v>95.938360636375279</v>
      </c>
      <c r="F623" s="116">
        <v>92.457689591372571</v>
      </c>
    </row>
    <row r="624" spans="1:6" x14ac:dyDescent="0.25">
      <c r="A624" s="252">
        <f t="shared" si="9"/>
        <v>608</v>
      </c>
      <c r="B624" s="116">
        <v>104.01242502021825</v>
      </c>
      <c r="C624" s="116">
        <v>98.707512606736216</v>
      </c>
      <c r="D624" s="116">
        <v>97.633209689685486</v>
      </c>
      <c r="E624" s="116">
        <v>95.888353222739156</v>
      </c>
      <c r="F624" s="116">
        <v>90.218661403747589</v>
      </c>
    </row>
    <row r="625" spans="1:6" x14ac:dyDescent="0.25">
      <c r="A625" s="252">
        <f t="shared" si="9"/>
        <v>609</v>
      </c>
      <c r="B625" s="116">
        <v>99.808357345126993</v>
      </c>
      <c r="C625" s="116">
        <v>100.57824304709136</v>
      </c>
      <c r="D625" s="116">
        <v>94.876528718312528</v>
      </c>
      <c r="E625" s="116">
        <v>95.607649775546633</v>
      </c>
      <c r="F625" s="116">
        <v>92.365027453251471</v>
      </c>
    </row>
    <row r="626" spans="1:6" x14ac:dyDescent="0.25">
      <c r="A626" s="252">
        <f t="shared" si="9"/>
        <v>610</v>
      </c>
      <c r="B626" s="116">
        <v>98.887591148993081</v>
      </c>
      <c r="C626" s="116">
        <v>97.132492071141698</v>
      </c>
      <c r="D626" s="116">
        <v>97.703160601638501</v>
      </c>
      <c r="E626" s="116">
        <v>94.869879304296589</v>
      </c>
      <c r="F626" s="116">
        <v>94.415851940599424</v>
      </c>
    </row>
    <row r="627" spans="1:6" x14ac:dyDescent="0.25">
      <c r="A627" s="252">
        <f t="shared" si="9"/>
        <v>611</v>
      </c>
      <c r="B627" s="116">
        <v>101.06696627107911</v>
      </c>
      <c r="C627" s="116">
        <v>97.189593550113017</v>
      </c>
      <c r="D627" s="116">
        <v>96.985225148242705</v>
      </c>
      <c r="E627" s="116">
        <v>95.328434349706072</v>
      </c>
      <c r="F627" s="116">
        <v>90.931778533519321</v>
      </c>
    </row>
    <row r="628" spans="1:6" x14ac:dyDescent="0.25">
      <c r="A628" s="252">
        <f t="shared" si="9"/>
        <v>612</v>
      </c>
      <c r="B628" s="116">
        <v>102.00880748008659</v>
      </c>
      <c r="C628" s="116">
        <v>98.934090824036247</v>
      </c>
      <c r="D628" s="116">
        <v>98.962109114545413</v>
      </c>
      <c r="E628" s="116">
        <v>95.759357115716199</v>
      </c>
      <c r="F628" s="116">
        <v>94.120785978943147</v>
      </c>
    </row>
    <row r="629" spans="1:6" x14ac:dyDescent="0.25">
      <c r="A629" s="252">
        <f t="shared" si="9"/>
        <v>613</v>
      </c>
      <c r="B629" s="116">
        <v>103.53798246960193</v>
      </c>
      <c r="C629" s="116">
        <v>99.054698602324493</v>
      </c>
      <c r="D629" s="116">
        <v>96.128207274303804</v>
      </c>
      <c r="E629" s="116">
        <v>95.633391742016485</v>
      </c>
      <c r="F629" s="116">
        <v>92.893076729817835</v>
      </c>
    </row>
    <row r="630" spans="1:6" x14ac:dyDescent="0.25">
      <c r="A630" s="252">
        <f t="shared" si="9"/>
        <v>614</v>
      </c>
      <c r="B630" s="116">
        <v>102.58168778427829</v>
      </c>
      <c r="C630" s="116">
        <v>97.29361934661614</v>
      </c>
      <c r="D630" s="116">
        <v>98.622538525852008</v>
      </c>
      <c r="E630" s="116">
        <v>96.19095389293102</v>
      </c>
      <c r="F630" s="116">
        <v>93.565672534243987</v>
      </c>
    </row>
    <row r="631" spans="1:6" x14ac:dyDescent="0.25">
      <c r="A631" s="252">
        <f t="shared" si="9"/>
        <v>615</v>
      </c>
      <c r="B631" s="116">
        <v>102.01954668988768</v>
      </c>
      <c r="C631" s="116">
        <v>97.199247743407369</v>
      </c>
      <c r="D631" s="116">
        <v>96.497894317506834</v>
      </c>
      <c r="E631" s="116">
        <v>95.111381155124676</v>
      </c>
      <c r="F631" s="116">
        <v>91.9151751616686</v>
      </c>
    </row>
    <row r="632" spans="1:6" x14ac:dyDescent="0.25">
      <c r="A632" s="252">
        <f t="shared" si="9"/>
        <v>616</v>
      </c>
      <c r="B632" s="116">
        <v>103.88321215357749</v>
      </c>
      <c r="C632" s="116">
        <v>100.8674130987572</v>
      </c>
      <c r="D632" s="116">
        <v>97.555607383427173</v>
      </c>
      <c r="E632" s="116">
        <v>94.821704420799861</v>
      </c>
      <c r="F632" s="116">
        <v>92.340256202603527</v>
      </c>
    </row>
    <row r="633" spans="1:6" x14ac:dyDescent="0.25">
      <c r="A633" s="252">
        <f t="shared" si="9"/>
        <v>617</v>
      </c>
      <c r="B633" s="116">
        <v>99.645158617825473</v>
      </c>
      <c r="C633" s="116">
        <v>94.908820976252798</v>
      </c>
      <c r="D633" s="116">
        <v>97.112841880279461</v>
      </c>
      <c r="E633" s="116">
        <v>92.758827344764512</v>
      </c>
      <c r="F633" s="116">
        <v>94.192677717392485</v>
      </c>
    </row>
    <row r="634" spans="1:6" x14ac:dyDescent="0.25">
      <c r="A634" s="252">
        <f t="shared" si="9"/>
        <v>618</v>
      </c>
      <c r="B634" s="116">
        <v>103.42580093840412</v>
      </c>
      <c r="C634" s="116">
        <v>100.19012635927722</v>
      </c>
      <c r="D634" s="116">
        <v>98.357921632705853</v>
      </c>
      <c r="E634" s="116">
        <v>95.320871530820227</v>
      </c>
      <c r="F634" s="116">
        <v>92.294885357963096</v>
      </c>
    </row>
    <row r="635" spans="1:6" x14ac:dyDescent="0.25">
      <c r="A635" s="252">
        <f t="shared" si="9"/>
        <v>619</v>
      </c>
      <c r="B635" s="116">
        <v>105.44869932862665</v>
      </c>
      <c r="C635" s="116">
        <v>99.434101742813752</v>
      </c>
      <c r="D635" s="116">
        <v>94.876935752737779</v>
      </c>
      <c r="E635" s="116">
        <v>95.202075437726734</v>
      </c>
      <c r="F635" s="116">
        <v>93.796982742004346</v>
      </c>
    </row>
    <row r="636" spans="1:6" x14ac:dyDescent="0.25">
      <c r="A636" s="252">
        <f t="shared" si="9"/>
        <v>620</v>
      </c>
      <c r="B636" s="116">
        <v>99.484377263110744</v>
      </c>
      <c r="C636" s="116">
        <v>100.75939950607993</v>
      </c>
      <c r="D636" s="116">
        <v>96.441369661641488</v>
      </c>
      <c r="E636" s="116">
        <v>94.56784787134589</v>
      </c>
      <c r="F636" s="116">
        <v>94.420195099359859</v>
      </c>
    </row>
    <row r="637" spans="1:6" x14ac:dyDescent="0.25">
      <c r="A637" s="252">
        <f t="shared" si="9"/>
        <v>621</v>
      </c>
      <c r="B637" s="116">
        <v>104.12260066255354</v>
      </c>
      <c r="C637" s="116">
        <v>98.266313969579031</v>
      </c>
      <c r="D637" s="116">
        <v>95.606095850403207</v>
      </c>
      <c r="E637" s="116">
        <v>93.002084339004824</v>
      </c>
      <c r="F637" s="116">
        <v>92.517694167497282</v>
      </c>
    </row>
    <row r="638" spans="1:6" x14ac:dyDescent="0.25">
      <c r="A638" s="252">
        <f t="shared" si="9"/>
        <v>622</v>
      </c>
      <c r="B638" s="116">
        <v>102.0621869717197</v>
      </c>
      <c r="C638" s="116">
        <v>98.373152323555871</v>
      </c>
      <c r="D638" s="116">
        <v>98.632540866915207</v>
      </c>
      <c r="E638" s="116">
        <v>95.175176164343327</v>
      </c>
      <c r="F638" s="116">
        <v>92.522631750568877</v>
      </c>
    </row>
    <row r="639" spans="1:6" x14ac:dyDescent="0.25">
      <c r="A639" s="252">
        <f t="shared" si="9"/>
        <v>623</v>
      </c>
      <c r="B639" s="116">
        <v>101.18127532162337</v>
      </c>
      <c r="C639" s="116">
        <v>98.923804840730241</v>
      </c>
      <c r="D639" s="116">
        <v>99.330208407414275</v>
      </c>
      <c r="E639" s="116">
        <v>95.169012246035649</v>
      </c>
      <c r="F639" s="116">
        <v>91.122840750407818</v>
      </c>
    </row>
    <row r="640" spans="1:6" x14ac:dyDescent="0.25">
      <c r="A640" s="252">
        <f t="shared" si="9"/>
        <v>624</v>
      </c>
      <c r="B640" s="116">
        <v>103.19894907557119</v>
      </c>
      <c r="C640" s="116">
        <v>98.419835949873729</v>
      </c>
      <c r="D640" s="116">
        <v>94.663506807634377</v>
      </c>
      <c r="E640" s="116">
        <v>94.53486070743736</v>
      </c>
      <c r="F640" s="116">
        <v>91.325099623380851</v>
      </c>
    </row>
    <row r="641" spans="1:6" x14ac:dyDescent="0.25">
      <c r="A641" s="252">
        <f t="shared" si="9"/>
        <v>625</v>
      </c>
      <c r="B641" s="116">
        <v>106.24608691749403</v>
      </c>
      <c r="C641" s="116">
        <v>99.112683718995072</v>
      </c>
      <c r="D641" s="116">
        <v>96.624793323799693</v>
      </c>
      <c r="E641" s="116">
        <v>94.31446984508807</v>
      </c>
      <c r="F641" s="116">
        <v>92.2363832055226</v>
      </c>
    </row>
    <row r="642" spans="1:6" x14ac:dyDescent="0.25">
      <c r="A642" s="252">
        <f t="shared" si="9"/>
        <v>626</v>
      </c>
      <c r="B642" s="116">
        <v>101.04170667106273</v>
      </c>
      <c r="C642" s="116">
        <v>96.720327402530913</v>
      </c>
      <c r="D642" s="116">
        <v>98.150462250543242</v>
      </c>
      <c r="E642" s="116">
        <v>94.757357239432906</v>
      </c>
      <c r="F642" s="116">
        <v>92.528562413567641</v>
      </c>
    </row>
    <row r="643" spans="1:6" x14ac:dyDescent="0.25">
      <c r="A643" s="252">
        <f t="shared" si="9"/>
        <v>627</v>
      </c>
      <c r="B643" s="116">
        <v>99.804298198534696</v>
      </c>
      <c r="C643" s="116">
        <v>100.41548405242462</v>
      </c>
      <c r="D643" s="116">
        <v>95.009726469365233</v>
      </c>
      <c r="E643" s="116">
        <v>95.186886977590873</v>
      </c>
      <c r="F643" s="116">
        <v>93.530947052846315</v>
      </c>
    </row>
    <row r="644" spans="1:6" x14ac:dyDescent="0.25">
      <c r="A644" s="252">
        <f t="shared" si="9"/>
        <v>628</v>
      </c>
      <c r="B644" s="116">
        <v>101.39208205344622</v>
      </c>
      <c r="C644" s="116">
        <v>101.13919110335814</v>
      </c>
      <c r="D644" s="116">
        <v>99.416571444145319</v>
      </c>
      <c r="E644" s="116">
        <v>95.152785926465242</v>
      </c>
      <c r="F644" s="116">
        <v>90.540848779659726</v>
      </c>
    </row>
    <row r="645" spans="1:6" x14ac:dyDescent="0.25">
      <c r="A645" s="252">
        <f t="shared" si="9"/>
        <v>629</v>
      </c>
      <c r="B645" s="116">
        <v>101.33697580862228</v>
      </c>
      <c r="C645" s="116">
        <v>101.57151087615536</v>
      </c>
      <c r="D645" s="116">
        <v>96.325319531490436</v>
      </c>
      <c r="E645" s="116">
        <v>94.996239477118266</v>
      </c>
      <c r="F645" s="116">
        <v>92.008243273588278</v>
      </c>
    </row>
    <row r="646" spans="1:6" x14ac:dyDescent="0.25">
      <c r="A646" s="252">
        <f t="shared" si="9"/>
        <v>630</v>
      </c>
      <c r="B646" s="116">
        <v>101.73018058307458</v>
      </c>
      <c r="C646" s="116">
        <v>100.56899483369037</v>
      </c>
      <c r="D646" s="116">
        <v>98.862055034791254</v>
      </c>
      <c r="E646" s="116">
        <v>96.018049550533519</v>
      </c>
      <c r="F646" s="116">
        <v>93.420210723102286</v>
      </c>
    </row>
    <row r="647" spans="1:6" x14ac:dyDescent="0.25">
      <c r="A647" s="252">
        <f t="shared" si="9"/>
        <v>631</v>
      </c>
      <c r="B647" s="116">
        <v>104.03768828785242</v>
      </c>
      <c r="C647" s="116">
        <v>98.524320750727782</v>
      </c>
      <c r="D647" s="116">
        <v>92.649285065951048</v>
      </c>
      <c r="E647" s="116">
        <v>96.004228875357242</v>
      </c>
      <c r="F647" s="116">
        <v>92.545315609834176</v>
      </c>
    </row>
    <row r="648" spans="1:6" x14ac:dyDescent="0.25">
      <c r="A648" s="252">
        <f t="shared" si="9"/>
        <v>632</v>
      </c>
      <c r="B648" s="116">
        <v>100.62198125290266</v>
      </c>
      <c r="C648" s="116">
        <v>98.14026941320401</v>
      </c>
      <c r="D648" s="116">
        <v>94.822252619017917</v>
      </c>
      <c r="E648" s="116">
        <v>94.508789315590178</v>
      </c>
      <c r="F648" s="116">
        <v>92.606087631202556</v>
      </c>
    </row>
    <row r="649" spans="1:6" x14ac:dyDescent="0.25">
      <c r="A649" s="252">
        <f t="shared" si="9"/>
        <v>633</v>
      </c>
      <c r="B649" s="116">
        <v>101.16307192033069</v>
      </c>
      <c r="C649" s="116">
        <v>98.166742314869808</v>
      </c>
      <c r="D649" s="116">
        <v>99.528187353202725</v>
      </c>
      <c r="E649" s="116">
        <v>94.726319316889118</v>
      </c>
      <c r="F649" s="116">
        <v>93.245827023711612</v>
      </c>
    </row>
    <row r="650" spans="1:6" x14ac:dyDescent="0.25">
      <c r="A650" s="252">
        <f t="shared" si="9"/>
        <v>634</v>
      </c>
      <c r="B650" s="116">
        <v>101.44901889281149</v>
      </c>
      <c r="C650" s="116">
        <v>96.710630952792584</v>
      </c>
      <c r="D650" s="116">
        <v>98.92718043036821</v>
      </c>
      <c r="E650" s="116">
        <v>95.524446858517081</v>
      </c>
      <c r="F650" s="116">
        <v>93.329543740054348</v>
      </c>
    </row>
    <row r="651" spans="1:6" x14ac:dyDescent="0.25">
      <c r="A651" s="252">
        <f t="shared" si="9"/>
        <v>635</v>
      </c>
      <c r="B651" s="116">
        <v>103.77477483611797</v>
      </c>
      <c r="C651" s="116">
        <v>99.98653442687899</v>
      </c>
      <c r="D651" s="116">
        <v>95.815923475759661</v>
      </c>
      <c r="E651" s="116">
        <v>96.152015880697107</v>
      </c>
      <c r="F651" s="116">
        <v>93.895551624020271</v>
      </c>
    </row>
    <row r="652" spans="1:6" x14ac:dyDescent="0.25">
      <c r="A652" s="252">
        <f t="shared" si="9"/>
        <v>636</v>
      </c>
      <c r="B652" s="116">
        <v>103.30249553209553</v>
      </c>
      <c r="C652" s="116">
        <v>99.49744748667446</v>
      </c>
      <c r="D652" s="116">
        <v>95.168412147742004</v>
      </c>
      <c r="E652" s="116">
        <v>95.72845720808219</v>
      </c>
      <c r="F652" s="116">
        <v>92.999464150929541</v>
      </c>
    </row>
    <row r="653" spans="1:6" x14ac:dyDescent="0.25">
      <c r="A653" s="252">
        <f t="shared" si="9"/>
        <v>637</v>
      </c>
      <c r="B653" s="116">
        <v>103.01207919674641</v>
      </c>
      <c r="C653" s="116">
        <v>98.917961775891328</v>
      </c>
      <c r="D653" s="116">
        <v>96.117859315115439</v>
      </c>
      <c r="E653" s="116">
        <v>93.352791240498163</v>
      </c>
      <c r="F653" s="116">
        <v>93.539547467932735</v>
      </c>
    </row>
    <row r="654" spans="1:6" x14ac:dyDescent="0.25">
      <c r="A654" s="252">
        <f t="shared" si="9"/>
        <v>638</v>
      </c>
      <c r="B654" s="116">
        <v>101.14877463491823</v>
      </c>
      <c r="C654" s="116">
        <v>100.57176387687407</v>
      </c>
      <c r="D654" s="116">
        <v>97.723539496727454</v>
      </c>
      <c r="E654" s="116">
        <v>94.012773393564018</v>
      </c>
      <c r="F654" s="116">
        <v>92.54439658025413</v>
      </c>
    </row>
    <row r="655" spans="1:6" x14ac:dyDescent="0.25">
      <c r="A655" s="252">
        <f t="shared" si="9"/>
        <v>639</v>
      </c>
      <c r="B655" s="116">
        <v>101.4410201633829</v>
      </c>
      <c r="C655" s="116">
        <v>99.375260913627017</v>
      </c>
      <c r="D655" s="116">
        <v>98.53099628349257</v>
      </c>
      <c r="E655" s="116">
        <v>94.277999715787871</v>
      </c>
      <c r="F655" s="116">
        <v>91.707793815323896</v>
      </c>
    </row>
    <row r="656" spans="1:6" x14ac:dyDescent="0.25">
      <c r="A656" s="252">
        <f t="shared" si="9"/>
        <v>640</v>
      </c>
      <c r="B656" s="116">
        <v>103.07130738678597</v>
      </c>
      <c r="C656" s="116">
        <v>99.547384178778387</v>
      </c>
      <c r="D656" s="116">
        <v>98.632253089946659</v>
      </c>
      <c r="E656" s="116">
        <v>94.679762787593944</v>
      </c>
      <c r="F656" s="116">
        <v>93.634083815703704</v>
      </c>
    </row>
    <row r="657" spans="1:6" x14ac:dyDescent="0.25">
      <c r="A657" s="252">
        <f t="shared" si="9"/>
        <v>641</v>
      </c>
      <c r="B657" s="116">
        <v>100.09203091604994</v>
      </c>
      <c r="C657" s="116">
        <v>96.278312525258798</v>
      </c>
      <c r="D657" s="116">
        <v>97.244786194887325</v>
      </c>
      <c r="E657" s="116">
        <v>95.510582537476878</v>
      </c>
      <c r="F657" s="116">
        <v>93.471786276896978</v>
      </c>
    </row>
    <row r="658" spans="1:6" x14ac:dyDescent="0.25">
      <c r="A658" s="252">
        <f t="shared" si="9"/>
        <v>642</v>
      </c>
      <c r="B658" s="116">
        <v>103.48872722131691</v>
      </c>
      <c r="C658" s="116">
        <v>100.98632710673891</v>
      </c>
      <c r="D658" s="116">
        <v>96.661741386400763</v>
      </c>
      <c r="E658" s="116">
        <v>95.804680398861294</v>
      </c>
      <c r="F658" s="116">
        <v>91.730325369537866</v>
      </c>
    </row>
    <row r="659" spans="1:6" x14ac:dyDescent="0.25">
      <c r="A659" s="252">
        <f t="shared" ref="A659:A722" si="10">+A658+1</f>
        <v>643</v>
      </c>
      <c r="B659" s="116">
        <v>99.826676705923731</v>
      </c>
      <c r="C659" s="116">
        <v>98.241695353011593</v>
      </c>
      <c r="D659" s="116">
        <v>97.189755450342432</v>
      </c>
      <c r="E659" s="116">
        <v>92.745605373246192</v>
      </c>
      <c r="F659" s="116">
        <v>93.7183899540981</v>
      </c>
    </row>
    <row r="660" spans="1:6" x14ac:dyDescent="0.25">
      <c r="A660" s="252">
        <f t="shared" si="10"/>
        <v>644</v>
      </c>
      <c r="B660" s="116">
        <v>104.1791180808362</v>
      </c>
      <c r="C660" s="116">
        <v>97.386786495592645</v>
      </c>
      <c r="D660" s="116">
        <v>95.542186079571906</v>
      </c>
      <c r="E660" s="116">
        <v>94.69832803998365</v>
      </c>
      <c r="F660" s="116">
        <v>93.395947292494782</v>
      </c>
    </row>
    <row r="661" spans="1:6" x14ac:dyDescent="0.25">
      <c r="A661" s="252">
        <f t="shared" si="10"/>
        <v>645</v>
      </c>
      <c r="B661" s="116">
        <v>102.87530214330317</v>
      </c>
      <c r="C661" s="116">
        <v>98.656946972973188</v>
      </c>
      <c r="D661" s="116">
        <v>97.415111219986628</v>
      </c>
      <c r="E661" s="116">
        <v>95.035594591962905</v>
      </c>
      <c r="F661" s="116">
        <v>93.584877392852945</v>
      </c>
    </row>
    <row r="662" spans="1:6" x14ac:dyDescent="0.25">
      <c r="A662" s="252">
        <f t="shared" si="10"/>
        <v>646</v>
      </c>
      <c r="B662" s="116">
        <v>101.19462668456433</v>
      </c>
      <c r="C662" s="116">
        <v>98.479291736978908</v>
      </c>
      <c r="D662" s="116">
        <v>96.002810301075755</v>
      </c>
      <c r="E662" s="116">
        <v>93.227279293816636</v>
      </c>
      <c r="F662" s="116">
        <v>92.206250205284206</v>
      </c>
    </row>
    <row r="663" spans="1:6" x14ac:dyDescent="0.25">
      <c r="A663" s="252">
        <f t="shared" si="10"/>
        <v>647</v>
      </c>
      <c r="B663" s="116">
        <v>99.344562609396576</v>
      </c>
      <c r="C663" s="116">
        <v>100.79455194843253</v>
      </c>
      <c r="D663" s="116">
        <v>96.304368565241234</v>
      </c>
      <c r="E663" s="116">
        <v>97.119401962720829</v>
      </c>
      <c r="F663" s="116">
        <v>94.048766464328992</v>
      </c>
    </row>
    <row r="664" spans="1:6" x14ac:dyDescent="0.25">
      <c r="A664" s="252">
        <f t="shared" si="10"/>
        <v>648</v>
      </c>
      <c r="B664" s="116">
        <v>103.09290345225317</v>
      </c>
      <c r="C664" s="116">
        <v>98.8712239005567</v>
      </c>
      <c r="D664" s="116">
        <v>98.71540027398737</v>
      </c>
      <c r="E664" s="116">
        <v>96.704536626629562</v>
      </c>
      <c r="F664" s="116">
        <v>94.034598057929358</v>
      </c>
    </row>
    <row r="665" spans="1:6" x14ac:dyDescent="0.25">
      <c r="A665" s="252">
        <f t="shared" si="10"/>
        <v>649</v>
      </c>
      <c r="B665" s="116">
        <v>104.42258690206627</v>
      </c>
      <c r="C665" s="116">
        <v>98.525495527098315</v>
      </c>
      <c r="D665" s="116">
        <v>96.904412461323659</v>
      </c>
      <c r="E665" s="116">
        <v>94.805819104293377</v>
      </c>
      <c r="F665" s="116">
        <v>92.042604755462108</v>
      </c>
    </row>
    <row r="666" spans="1:6" x14ac:dyDescent="0.25">
      <c r="A666" s="252">
        <f t="shared" si="10"/>
        <v>650</v>
      </c>
      <c r="B666" s="116">
        <v>101.63618141045407</v>
      </c>
      <c r="C666" s="116">
        <v>96.370532510270237</v>
      </c>
      <c r="D666" s="116">
        <v>98.025347721140591</v>
      </c>
      <c r="E666" s="116">
        <v>94.888282870957568</v>
      </c>
      <c r="F666" s="116">
        <v>92.545940641106753</v>
      </c>
    </row>
    <row r="667" spans="1:6" x14ac:dyDescent="0.25">
      <c r="A667" s="252">
        <f t="shared" si="10"/>
        <v>651</v>
      </c>
      <c r="B667" s="116">
        <v>103.09782705023615</v>
      </c>
      <c r="C667" s="116">
        <v>96.018043311910176</v>
      </c>
      <c r="D667" s="116">
        <v>94.266342476324184</v>
      </c>
      <c r="E667" s="116">
        <v>93.852887874049173</v>
      </c>
      <c r="F667" s="116">
        <v>94.144499054852531</v>
      </c>
    </row>
    <row r="668" spans="1:6" x14ac:dyDescent="0.25">
      <c r="A668" s="252">
        <f t="shared" si="10"/>
        <v>652</v>
      </c>
      <c r="B668" s="116">
        <v>104.79615743324391</v>
      </c>
      <c r="C668" s="116">
        <v>99.630905964204103</v>
      </c>
      <c r="D668" s="116">
        <v>99.187949364545887</v>
      </c>
      <c r="E668" s="116">
        <v>95.354099556970425</v>
      </c>
      <c r="F668" s="116">
        <v>92.414593297040923</v>
      </c>
    </row>
    <row r="669" spans="1:6" x14ac:dyDescent="0.25">
      <c r="A669" s="252">
        <f t="shared" si="10"/>
        <v>653</v>
      </c>
      <c r="B669" s="116">
        <v>100.30727512089508</v>
      </c>
      <c r="C669" s="116">
        <v>99.610747058046456</v>
      </c>
      <c r="D669" s="116">
        <v>98.576627975378358</v>
      </c>
      <c r="E669" s="116">
        <v>94.892012800964125</v>
      </c>
      <c r="F669" s="116">
        <v>92.379363925132225</v>
      </c>
    </row>
    <row r="670" spans="1:6" x14ac:dyDescent="0.25">
      <c r="A670" s="252">
        <f t="shared" si="10"/>
        <v>654</v>
      </c>
      <c r="B670" s="116">
        <v>100.86980466442246</v>
      </c>
      <c r="C670" s="116">
        <v>100.91741913459474</v>
      </c>
      <c r="D670" s="116">
        <v>98.043844687355232</v>
      </c>
      <c r="E670" s="116">
        <v>94.190626561132191</v>
      </c>
      <c r="F670" s="116">
        <v>91.98841012629012</v>
      </c>
    </row>
    <row r="671" spans="1:6" x14ac:dyDescent="0.25">
      <c r="A671" s="252">
        <f t="shared" si="10"/>
        <v>655</v>
      </c>
      <c r="B671" s="116">
        <v>102.25111353137763</v>
      </c>
      <c r="C671" s="116">
        <v>96.352813544992557</v>
      </c>
      <c r="D671" s="116">
        <v>94.709259458995959</v>
      </c>
      <c r="E671" s="116">
        <v>94.418640720433658</v>
      </c>
      <c r="F671" s="116">
        <v>91.396085262814765</v>
      </c>
    </row>
    <row r="672" spans="1:6" x14ac:dyDescent="0.25">
      <c r="A672" s="252">
        <f t="shared" si="10"/>
        <v>656</v>
      </c>
      <c r="B672" s="116">
        <v>103.58391079195647</v>
      </c>
      <c r="C672" s="116">
        <v>100.08983920975287</v>
      </c>
      <c r="D672" s="116">
        <v>96.377423073342811</v>
      </c>
      <c r="E672" s="116">
        <v>97.175728197892127</v>
      </c>
      <c r="F672" s="116">
        <v>93.099896675619405</v>
      </c>
    </row>
    <row r="673" spans="1:6" x14ac:dyDescent="0.25">
      <c r="A673" s="252">
        <f t="shared" si="10"/>
        <v>657</v>
      </c>
      <c r="B673" s="116">
        <v>103.25709237973535</v>
      </c>
      <c r="C673" s="116">
        <v>96.54367885033345</v>
      </c>
      <c r="D673" s="116">
        <v>95.540510937536453</v>
      </c>
      <c r="E673" s="116">
        <v>94.381529656072146</v>
      </c>
      <c r="F673" s="116">
        <v>93.49141848489397</v>
      </c>
    </row>
    <row r="674" spans="1:6" x14ac:dyDescent="0.25">
      <c r="A674" s="252">
        <f t="shared" si="10"/>
        <v>658</v>
      </c>
      <c r="B674" s="116">
        <v>103.14553939413408</v>
      </c>
      <c r="C674" s="116">
        <v>97.269313914145187</v>
      </c>
      <c r="D674" s="116">
        <v>95.261867311898058</v>
      </c>
      <c r="E674" s="116">
        <v>96.482585024953281</v>
      </c>
      <c r="F674" s="116">
        <v>93.492916753883875</v>
      </c>
    </row>
    <row r="675" spans="1:6" x14ac:dyDescent="0.25">
      <c r="A675" s="252">
        <f t="shared" si="10"/>
        <v>659</v>
      </c>
      <c r="B675" s="116">
        <v>105.76875532610737</v>
      </c>
      <c r="C675" s="116">
        <v>96.213599161310285</v>
      </c>
      <c r="D675" s="116">
        <v>98.82298482285141</v>
      </c>
      <c r="E675" s="116">
        <v>95.950855591904627</v>
      </c>
      <c r="F675" s="116">
        <v>91.57328815145749</v>
      </c>
    </row>
    <row r="676" spans="1:6" x14ac:dyDescent="0.25">
      <c r="A676" s="252">
        <f t="shared" si="10"/>
        <v>660</v>
      </c>
      <c r="B676" s="116">
        <v>102.14790207227438</v>
      </c>
      <c r="C676" s="116">
        <v>96.769848040003026</v>
      </c>
      <c r="D676" s="116">
        <v>96.650006277397196</v>
      </c>
      <c r="E676" s="116">
        <v>95.544155929087594</v>
      </c>
      <c r="F676" s="116">
        <v>94.615130281700601</v>
      </c>
    </row>
    <row r="677" spans="1:6" x14ac:dyDescent="0.25">
      <c r="A677" s="252">
        <f t="shared" si="10"/>
        <v>661</v>
      </c>
      <c r="B677" s="116">
        <v>102.98009230050138</v>
      </c>
      <c r="C677" s="116">
        <v>96.448748465155475</v>
      </c>
      <c r="D677" s="116">
        <v>94.848881637926738</v>
      </c>
      <c r="E677" s="116">
        <v>94.367773529144912</v>
      </c>
      <c r="F677" s="116">
        <v>91.684104354851215</v>
      </c>
    </row>
    <row r="678" spans="1:6" x14ac:dyDescent="0.25">
      <c r="A678" s="252">
        <f t="shared" si="10"/>
        <v>662</v>
      </c>
      <c r="B678" s="116">
        <v>96.823219124433052</v>
      </c>
      <c r="C678" s="116">
        <v>98.186054535720174</v>
      </c>
      <c r="D678" s="116">
        <v>97.661506904383458</v>
      </c>
      <c r="E678" s="116">
        <v>96.250427077256688</v>
      </c>
      <c r="F678" s="116">
        <v>91.597130494898408</v>
      </c>
    </row>
    <row r="679" spans="1:6" x14ac:dyDescent="0.25">
      <c r="A679" s="252">
        <f t="shared" si="10"/>
        <v>663</v>
      </c>
      <c r="B679" s="116">
        <v>101.97942073110201</v>
      </c>
      <c r="C679" s="116">
        <v>98.920855079500924</v>
      </c>
      <c r="D679" s="116">
        <v>95.684575576393911</v>
      </c>
      <c r="E679" s="116">
        <v>95.54212672920238</v>
      </c>
      <c r="F679" s="116">
        <v>91.728381423966923</v>
      </c>
    </row>
    <row r="680" spans="1:6" x14ac:dyDescent="0.25">
      <c r="A680" s="252">
        <f t="shared" si="10"/>
        <v>664</v>
      </c>
      <c r="B680" s="116">
        <v>99.921041814699095</v>
      </c>
      <c r="C680" s="116">
        <v>99.095434022241079</v>
      </c>
      <c r="D680" s="116">
        <v>97.743431843548152</v>
      </c>
      <c r="E680" s="116">
        <v>94.226597930151456</v>
      </c>
      <c r="F680" s="116">
        <v>90.394096944862781</v>
      </c>
    </row>
    <row r="681" spans="1:6" x14ac:dyDescent="0.25">
      <c r="A681" s="252">
        <f t="shared" si="10"/>
        <v>665</v>
      </c>
      <c r="B681" s="116">
        <v>100.42918474553589</v>
      </c>
      <c r="C681" s="116">
        <v>101.5994734677069</v>
      </c>
      <c r="D681" s="116">
        <v>98.180885178461367</v>
      </c>
      <c r="E681" s="116">
        <v>94.661158605744006</v>
      </c>
      <c r="F681" s="116">
        <v>92.620027112166369</v>
      </c>
    </row>
    <row r="682" spans="1:6" x14ac:dyDescent="0.25">
      <c r="A682" s="252">
        <f t="shared" si="10"/>
        <v>666</v>
      </c>
      <c r="B682" s="116">
        <v>101.44971370992441</v>
      </c>
      <c r="C682" s="116">
        <v>100.47595387268582</v>
      </c>
      <c r="D682" s="116">
        <v>96.107600068852719</v>
      </c>
      <c r="E682" s="116">
        <v>95.917236222952766</v>
      </c>
      <c r="F682" s="116">
        <v>94.240900089918199</v>
      </c>
    </row>
    <row r="683" spans="1:6" x14ac:dyDescent="0.25">
      <c r="A683" s="252">
        <f t="shared" si="10"/>
        <v>667</v>
      </c>
      <c r="B683" s="116">
        <v>99.883665917488344</v>
      </c>
      <c r="C683" s="116">
        <v>99.439152933201953</v>
      </c>
      <c r="D683" s="116">
        <v>96.682823078444201</v>
      </c>
      <c r="E683" s="116">
        <v>95.823911072540398</v>
      </c>
      <c r="F683" s="116">
        <v>91.989507524947797</v>
      </c>
    </row>
    <row r="684" spans="1:6" x14ac:dyDescent="0.25">
      <c r="A684" s="252">
        <f t="shared" si="10"/>
        <v>668</v>
      </c>
      <c r="B684" s="116">
        <v>100.83473141895679</v>
      </c>
      <c r="C684" s="116">
        <v>97.441353999159219</v>
      </c>
      <c r="D684" s="116">
        <v>95.040050184656693</v>
      </c>
      <c r="E684" s="116">
        <v>94.00851390249818</v>
      </c>
      <c r="F684" s="116">
        <v>93.22110250868441</v>
      </c>
    </row>
    <row r="685" spans="1:6" x14ac:dyDescent="0.25">
      <c r="A685" s="252">
        <f t="shared" si="10"/>
        <v>669</v>
      </c>
      <c r="B685" s="116">
        <v>102.10200068575922</v>
      </c>
      <c r="C685" s="116">
        <v>98.106439428572486</v>
      </c>
      <c r="D685" s="116">
        <v>97.635042941731541</v>
      </c>
      <c r="E685" s="116">
        <v>94.497407380454604</v>
      </c>
      <c r="F685" s="116">
        <v>93.097019118935208</v>
      </c>
    </row>
    <row r="686" spans="1:6" x14ac:dyDescent="0.25">
      <c r="A686" s="252">
        <f t="shared" si="10"/>
        <v>670</v>
      </c>
      <c r="B686" s="116">
        <v>97.992880824819053</v>
      </c>
      <c r="C686" s="116">
        <v>98.760200847231033</v>
      </c>
      <c r="D686" s="116">
        <v>95.80992864021357</v>
      </c>
      <c r="E686" s="116">
        <v>96.777135639993475</v>
      </c>
      <c r="F686" s="116">
        <v>93.688775203732874</v>
      </c>
    </row>
    <row r="687" spans="1:6" x14ac:dyDescent="0.25">
      <c r="A687" s="252">
        <f t="shared" si="10"/>
        <v>671</v>
      </c>
      <c r="B687" s="116">
        <v>101.60110510327554</v>
      </c>
      <c r="C687" s="116">
        <v>98.456191836423955</v>
      </c>
      <c r="D687" s="116">
        <v>98.613651780915646</v>
      </c>
      <c r="E687" s="116">
        <v>96.061378938042083</v>
      </c>
      <c r="F687" s="116">
        <v>93.58892242707843</v>
      </c>
    </row>
    <row r="688" spans="1:6" x14ac:dyDescent="0.25">
      <c r="A688" s="252">
        <f t="shared" si="10"/>
        <v>672</v>
      </c>
      <c r="B688" s="116">
        <v>101.93402550642456</v>
      </c>
      <c r="C688" s="116">
        <v>97.79085142896588</v>
      </c>
      <c r="D688" s="116">
        <v>95.076502934456812</v>
      </c>
      <c r="E688" s="116">
        <v>94.481981873959541</v>
      </c>
      <c r="F688" s="116">
        <v>92.046068507736237</v>
      </c>
    </row>
    <row r="689" spans="1:6" x14ac:dyDescent="0.25">
      <c r="A689" s="252">
        <f t="shared" si="10"/>
        <v>673</v>
      </c>
      <c r="B689" s="116">
        <v>101.76998260670572</v>
      </c>
      <c r="C689" s="116">
        <v>100.28049480299849</v>
      </c>
      <c r="D689" s="116">
        <v>96.787369497774478</v>
      </c>
      <c r="E689" s="116">
        <v>96.363434572344516</v>
      </c>
      <c r="F689" s="116">
        <v>93.142033082614191</v>
      </c>
    </row>
    <row r="690" spans="1:6" x14ac:dyDescent="0.25">
      <c r="A690" s="252">
        <f t="shared" si="10"/>
        <v>674</v>
      </c>
      <c r="B690" s="116">
        <v>98.671794936129203</v>
      </c>
      <c r="C690" s="116">
        <v>101.6671264182708</v>
      </c>
      <c r="D690" s="116">
        <v>95.817083764159975</v>
      </c>
      <c r="E690" s="116">
        <v>95.068975389329665</v>
      </c>
      <c r="F690" s="116">
        <v>92.58558548511381</v>
      </c>
    </row>
    <row r="691" spans="1:6" x14ac:dyDescent="0.25">
      <c r="A691" s="252">
        <f t="shared" si="10"/>
        <v>675</v>
      </c>
      <c r="B691" s="116">
        <v>103.38198300562554</v>
      </c>
      <c r="C691" s="116">
        <v>101.82505376599816</v>
      </c>
      <c r="D691" s="116">
        <v>97.545406084210271</v>
      </c>
      <c r="E691" s="116">
        <v>94.942381477129089</v>
      </c>
      <c r="F691" s="116">
        <v>91.962668865280094</v>
      </c>
    </row>
    <row r="692" spans="1:6" x14ac:dyDescent="0.25">
      <c r="A692" s="252">
        <f t="shared" si="10"/>
        <v>676</v>
      </c>
      <c r="B692" s="116">
        <v>100.24630832698938</v>
      </c>
      <c r="C692" s="116">
        <v>102.00355018822752</v>
      </c>
      <c r="D692" s="116">
        <v>95.430523198698538</v>
      </c>
      <c r="E692" s="116">
        <v>95.25766715241123</v>
      </c>
      <c r="F692" s="116">
        <v>93.495089143049967</v>
      </c>
    </row>
    <row r="693" spans="1:6" x14ac:dyDescent="0.25">
      <c r="A693" s="252">
        <f t="shared" si="10"/>
        <v>677</v>
      </c>
      <c r="B693" s="116">
        <v>100.64495473908255</v>
      </c>
      <c r="C693" s="116">
        <v>97.796454883351331</v>
      </c>
      <c r="D693" s="116">
        <v>96.067673696610939</v>
      </c>
      <c r="E693" s="116">
        <v>95.123324566466366</v>
      </c>
      <c r="F693" s="116">
        <v>91.570314298189899</v>
      </c>
    </row>
    <row r="694" spans="1:6" x14ac:dyDescent="0.25">
      <c r="A694" s="252">
        <f t="shared" si="10"/>
        <v>678</v>
      </c>
      <c r="B694" s="116">
        <v>104.33603150082226</v>
      </c>
      <c r="C694" s="116">
        <v>100.69418763566279</v>
      </c>
      <c r="D694" s="116">
        <v>98.315542041707559</v>
      </c>
      <c r="E694" s="116">
        <v>93.900965968335768</v>
      </c>
      <c r="F694" s="116">
        <v>92.429520044542187</v>
      </c>
    </row>
    <row r="695" spans="1:6" x14ac:dyDescent="0.25">
      <c r="A695" s="252">
        <f t="shared" si="10"/>
        <v>679</v>
      </c>
      <c r="B695" s="116">
        <v>103.42123709848578</v>
      </c>
      <c r="C695" s="116">
        <v>96.573635607277325</v>
      </c>
      <c r="D695" s="116">
        <v>96.513773823507819</v>
      </c>
      <c r="E695" s="116">
        <v>95.203385343426376</v>
      </c>
      <c r="F695" s="116">
        <v>93.158791344418518</v>
      </c>
    </row>
    <row r="696" spans="1:6" x14ac:dyDescent="0.25">
      <c r="A696" s="252">
        <f t="shared" si="10"/>
        <v>680</v>
      </c>
      <c r="B696" s="116">
        <v>102.49382843366872</v>
      </c>
      <c r="C696" s="116">
        <v>99.470632868059127</v>
      </c>
      <c r="D696" s="116">
        <v>96.604148445255035</v>
      </c>
      <c r="E696" s="116">
        <v>94.539672624405384</v>
      </c>
      <c r="F696" s="116">
        <v>94.55821016957961</v>
      </c>
    </row>
    <row r="697" spans="1:6" x14ac:dyDescent="0.25">
      <c r="A697" s="252">
        <f t="shared" si="10"/>
        <v>681</v>
      </c>
      <c r="B697" s="116">
        <v>99.212735631138088</v>
      </c>
      <c r="C697" s="116">
        <v>98.416661217305133</v>
      </c>
      <c r="D697" s="116">
        <v>94.595504533852065</v>
      </c>
      <c r="E697" s="116">
        <v>93.007598789796901</v>
      </c>
      <c r="F697" s="116">
        <v>93.125397690555246</v>
      </c>
    </row>
    <row r="698" spans="1:6" x14ac:dyDescent="0.25">
      <c r="A698" s="252">
        <f t="shared" si="10"/>
        <v>682</v>
      </c>
      <c r="B698" s="116">
        <v>99.124099848756629</v>
      </c>
      <c r="C698" s="116">
        <v>100.6611826542884</v>
      </c>
      <c r="D698" s="116">
        <v>96.824292237162354</v>
      </c>
      <c r="E698" s="116">
        <v>94.451886260063532</v>
      </c>
      <c r="F698" s="116">
        <v>93.837112200782698</v>
      </c>
    </row>
    <row r="699" spans="1:6" x14ac:dyDescent="0.25">
      <c r="A699" s="252">
        <f t="shared" si="10"/>
        <v>683</v>
      </c>
      <c r="B699" s="116">
        <v>102.61573642206947</v>
      </c>
      <c r="C699" s="116">
        <v>97.814371341045131</v>
      </c>
      <c r="D699" s="116">
        <v>98.032561943659715</v>
      </c>
      <c r="E699" s="116">
        <v>93.527998257338169</v>
      </c>
      <c r="F699" s="116">
        <v>93.132675065301527</v>
      </c>
    </row>
    <row r="700" spans="1:6" x14ac:dyDescent="0.25">
      <c r="A700" s="252">
        <f t="shared" si="10"/>
        <v>684</v>
      </c>
      <c r="B700" s="116">
        <v>101.09069098306423</v>
      </c>
      <c r="C700" s="116">
        <v>102.18056043765195</v>
      </c>
      <c r="D700" s="116">
        <v>96.334161362811727</v>
      </c>
      <c r="E700" s="116">
        <v>95.211562512835997</v>
      </c>
      <c r="F700" s="116">
        <v>92.711779206049329</v>
      </c>
    </row>
    <row r="701" spans="1:6" x14ac:dyDescent="0.25">
      <c r="A701" s="252">
        <f t="shared" si="10"/>
        <v>685</v>
      </c>
      <c r="B701" s="116">
        <v>103.96552198811777</v>
      </c>
      <c r="C701" s="116">
        <v>100.07059935317541</v>
      </c>
      <c r="D701" s="116">
        <v>97.155766411097204</v>
      </c>
      <c r="E701" s="116">
        <v>93.654063213586852</v>
      </c>
      <c r="F701" s="116">
        <v>92.27714378644329</v>
      </c>
    </row>
    <row r="702" spans="1:6" x14ac:dyDescent="0.25">
      <c r="A702" s="252">
        <f t="shared" si="10"/>
        <v>686</v>
      </c>
      <c r="B702" s="116">
        <v>101.6069897249793</v>
      </c>
      <c r="C702" s="116">
        <v>97.922651174042457</v>
      </c>
      <c r="D702" s="116">
        <v>95.907761362169254</v>
      </c>
      <c r="E702" s="116">
        <v>95.067153237565861</v>
      </c>
      <c r="F702" s="116">
        <v>93.338719182219236</v>
      </c>
    </row>
    <row r="703" spans="1:6" x14ac:dyDescent="0.25">
      <c r="A703" s="252">
        <f t="shared" si="10"/>
        <v>687</v>
      </c>
      <c r="B703" s="116">
        <v>99.977674760050547</v>
      </c>
      <c r="C703" s="116">
        <v>101.07386407368276</v>
      </c>
      <c r="D703" s="116">
        <v>98.711038862439651</v>
      </c>
      <c r="E703" s="116">
        <v>96.089620142306558</v>
      </c>
      <c r="F703" s="116">
        <v>93.808637373255905</v>
      </c>
    </row>
    <row r="704" spans="1:6" x14ac:dyDescent="0.25">
      <c r="A704" s="252">
        <f t="shared" si="10"/>
        <v>688</v>
      </c>
      <c r="B704" s="116">
        <v>102.22812840198323</v>
      </c>
      <c r="C704" s="116">
        <v>96.049187597441176</v>
      </c>
      <c r="D704" s="116">
        <v>96.025739570502921</v>
      </c>
      <c r="E704" s="116">
        <v>96.663219146727144</v>
      </c>
      <c r="F704" s="116">
        <v>93.705324743741372</v>
      </c>
    </row>
    <row r="705" spans="1:6" x14ac:dyDescent="0.25">
      <c r="A705" s="252">
        <f t="shared" si="10"/>
        <v>689</v>
      </c>
      <c r="B705" s="116">
        <v>100.43078196326442</v>
      </c>
      <c r="C705" s="116">
        <v>99.723839808741914</v>
      </c>
      <c r="D705" s="116">
        <v>98.46457339394297</v>
      </c>
      <c r="E705" s="116">
        <v>93.450579089107606</v>
      </c>
      <c r="F705" s="116">
        <v>92.683770264229679</v>
      </c>
    </row>
    <row r="706" spans="1:6" x14ac:dyDescent="0.25">
      <c r="A706" s="252">
        <f t="shared" si="10"/>
        <v>690</v>
      </c>
      <c r="B706" s="116">
        <v>100.57409884981558</v>
      </c>
      <c r="C706" s="116">
        <v>100.16583324245859</v>
      </c>
      <c r="D706" s="116">
        <v>96.910364594719809</v>
      </c>
      <c r="E706" s="116">
        <v>93.794416868299308</v>
      </c>
      <c r="F706" s="116">
        <v>94.529240966032475</v>
      </c>
    </row>
    <row r="707" spans="1:6" x14ac:dyDescent="0.25">
      <c r="A707" s="252">
        <f t="shared" si="10"/>
        <v>691</v>
      </c>
      <c r="B707" s="116">
        <v>103.24689667899563</v>
      </c>
      <c r="C707" s="116">
        <v>98.271347552235653</v>
      </c>
      <c r="D707" s="116">
        <v>97.274221313510012</v>
      </c>
      <c r="E707" s="116">
        <v>94.767467580530734</v>
      </c>
      <c r="F707" s="116">
        <v>94.281521475456373</v>
      </c>
    </row>
    <row r="708" spans="1:6" x14ac:dyDescent="0.25">
      <c r="A708" s="252">
        <f t="shared" si="10"/>
        <v>692</v>
      </c>
      <c r="B708" s="116">
        <v>100.38518508649886</v>
      </c>
      <c r="C708" s="116">
        <v>97.877648396496809</v>
      </c>
      <c r="D708" s="116">
        <v>94.721719197658089</v>
      </c>
      <c r="E708" s="116">
        <v>94.859119533130681</v>
      </c>
      <c r="F708" s="116">
        <v>93.598375026055649</v>
      </c>
    </row>
    <row r="709" spans="1:6" x14ac:dyDescent="0.25">
      <c r="A709" s="252">
        <f t="shared" si="10"/>
        <v>693</v>
      </c>
      <c r="B709" s="116">
        <v>102.48940345205756</v>
      </c>
      <c r="C709" s="116">
        <v>98.791816988384397</v>
      </c>
      <c r="D709" s="116">
        <v>96.223509044916668</v>
      </c>
      <c r="E709" s="116">
        <v>95.763899362816474</v>
      </c>
      <c r="F709" s="116">
        <v>93.360085351238652</v>
      </c>
    </row>
    <row r="710" spans="1:6" x14ac:dyDescent="0.25">
      <c r="A710" s="252">
        <f t="shared" si="10"/>
        <v>694</v>
      </c>
      <c r="B710" s="116">
        <v>101.39999377615145</v>
      </c>
      <c r="C710" s="116">
        <v>98.8451888360607</v>
      </c>
      <c r="D710" s="116">
        <v>95.198758211660007</v>
      </c>
      <c r="E710" s="116">
        <v>93.792086735504427</v>
      </c>
      <c r="F710" s="116">
        <v>94.975553087606713</v>
      </c>
    </row>
    <row r="711" spans="1:6" x14ac:dyDescent="0.25">
      <c r="A711" s="252">
        <f t="shared" si="10"/>
        <v>695</v>
      </c>
      <c r="B711" s="116">
        <v>103.02033061234755</v>
      </c>
      <c r="C711" s="116">
        <v>99.138541867737445</v>
      </c>
      <c r="D711" s="116">
        <v>97.424919568246139</v>
      </c>
      <c r="E711" s="116">
        <v>95.131170073563169</v>
      </c>
      <c r="F711" s="116">
        <v>92.12706413213003</v>
      </c>
    </row>
    <row r="712" spans="1:6" x14ac:dyDescent="0.25">
      <c r="A712" s="252">
        <f t="shared" si="10"/>
        <v>696</v>
      </c>
      <c r="B712" s="116">
        <v>103.56602206132547</v>
      </c>
      <c r="C712" s="116">
        <v>101.58790822098089</v>
      </c>
      <c r="D712" s="116">
        <v>96.850895319275736</v>
      </c>
      <c r="E712" s="116">
        <v>94.170354900448714</v>
      </c>
      <c r="F712" s="116">
        <v>92.793996374772448</v>
      </c>
    </row>
    <row r="713" spans="1:6" x14ac:dyDescent="0.25">
      <c r="A713" s="252">
        <f t="shared" si="10"/>
        <v>697</v>
      </c>
      <c r="B713" s="116">
        <v>98.641981642103431</v>
      </c>
      <c r="C713" s="116">
        <v>99.535711968015292</v>
      </c>
      <c r="D713" s="116">
        <v>96.799869002159156</v>
      </c>
      <c r="E713" s="116">
        <v>94.093730141786935</v>
      </c>
      <c r="F713" s="116">
        <v>92.654177497193515</v>
      </c>
    </row>
    <row r="714" spans="1:6" x14ac:dyDescent="0.25">
      <c r="A714" s="252">
        <f t="shared" si="10"/>
        <v>698</v>
      </c>
      <c r="B714" s="116">
        <v>102.25437124310419</v>
      </c>
      <c r="C714" s="116">
        <v>98.787189431174752</v>
      </c>
      <c r="D714" s="116">
        <v>96.512794274780006</v>
      </c>
      <c r="E714" s="116">
        <v>94.090596334845671</v>
      </c>
      <c r="F714" s="116">
        <v>91.828348752886271</v>
      </c>
    </row>
    <row r="715" spans="1:6" x14ac:dyDescent="0.25">
      <c r="A715" s="252">
        <f t="shared" si="10"/>
        <v>699</v>
      </c>
      <c r="B715" s="116">
        <v>98.913587440744337</v>
      </c>
      <c r="C715" s="116">
        <v>100.22624014588833</v>
      </c>
      <c r="D715" s="116">
        <v>97.723547591656512</v>
      </c>
      <c r="E715" s="116">
        <v>94.774155537135258</v>
      </c>
      <c r="F715" s="116">
        <v>92.576555929456163</v>
      </c>
    </row>
    <row r="716" spans="1:6" x14ac:dyDescent="0.25">
      <c r="A716" s="252">
        <f t="shared" si="10"/>
        <v>700</v>
      </c>
      <c r="B716" s="116">
        <v>102.17710454759577</v>
      </c>
      <c r="C716" s="116">
        <v>97.283460823694085</v>
      </c>
      <c r="D716" s="116">
        <v>96.40144130320509</v>
      </c>
      <c r="E716" s="116">
        <v>93.900159063172509</v>
      </c>
      <c r="F716" s="116">
        <v>91.582918257024005</v>
      </c>
    </row>
    <row r="717" spans="1:6" x14ac:dyDescent="0.25">
      <c r="A717" s="252">
        <f t="shared" si="10"/>
        <v>701</v>
      </c>
      <c r="B717" s="116">
        <v>103.39108075639218</v>
      </c>
      <c r="C717" s="116">
        <v>98.006684041967972</v>
      </c>
      <c r="D717" s="116">
        <v>96.64057310395647</v>
      </c>
      <c r="E717" s="116">
        <v>94.97684845006421</v>
      </c>
      <c r="F717" s="116">
        <v>92.753137179128544</v>
      </c>
    </row>
    <row r="718" spans="1:6" x14ac:dyDescent="0.25">
      <c r="A718" s="252">
        <f t="shared" si="10"/>
        <v>702</v>
      </c>
      <c r="B718" s="116">
        <v>103.72147317877102</v>
      </c>
      <c r="C718" s="116">
        <v>97.571573734709304</v>
      </c>
      <c r="D718" s="116">
        <v>97.728350593540142</v>
      </c>
      <c r="E718" s="116">
        <v>95.00891272151361</v>
      </c>
      <c r="F718" s="116">
        <v>93.138567933079813</v>
      </c>
    </row>
    <row r="719" spans="1:6" x14ac:dyDescent="0.25">
      <c r="A719" s="252">
        <f t="shared" si="10"/>
        <v>703</v>
      </c>
      <c r="B719" s="116">
        <v>102.90712821676051</v>
      </c>
      <c r="C719" s="116">
        <v>97.412316895080252</v>
      </c>
      <c r="D719" s="116">
        <v>99.257243962794831</v>
      </c>
      <c r="E719" s="116">
        <v>96.209396015703675</v>
      </c>
      <c r="F719" s="116">
        <v>92.658819478921387</v>
      </c>
    </row>
    <row r="720" spans="1:6" x14ac:dyDescent="0.25">
      <c r="A720" s="252">
        <f t="shared" si="10"/>
        <v>704</v>
      </c>
      <c r="B720" s="116">
        <v>103.96474882365005</v>
      </c>
      <c r="C720" s="116">
        <v>99.07501204371583</v>
      </c>
      <c r="D720" s="116">
        <v>94.277924331874928</v>
      </c>
      <c r="E720" s="116">
        <v>93.13322678567134</v>
      </c>
      <c r="F720" s="116">
        <v>93.817927066197996</v>
      </c>
    </row>
    <row r="721" spans="1:6" x14ac:dyDescent="0.25">
      <c r="A721" s="252">
        <f t="shared" si="10"/>
        <v>705</v>
      </c>
      <c r="B721" s="116">
        <v>97.934485853305972</v>
      </c>
      <c r="C721" s="116">
        <v>98.873759526847522</v>
      </c>
      <c r="D721" s="116">
        <v>98.272739758035698</v>
      </c>
      <c r="E721" s="116">
        <v>93.690633668832902</v>
      </c>
      <c r="F721" s="116">
        <v>93.852891575208801</v>
      </c>
    </row>
    <row r="722" spans="1:6" x14ac:dyDescent="0.25">
      <c r="A722" s="252">
        <f t="shared" si="10"/>
        <v>706</v>
      </c>
      <c r="B722" s="116">
        <v>103.17537862227061</v>
      </c>
      <c r="C722" s="116">
        <v>97.827638116495521</v>
      </c>
      <c r="D722" s="116">
        <v>98.064099942857439</v>
      </c>
      <c r="E722" s="116">
        <v>95.093817881886523</v>
      </c>
      <c r="F722" s="116">
        <v>91.707042818438026</v>
      </c>
    </row>
    <row r="723" spans="1:6" x14ac:dyDescent="0.25">
      <c r="A723" s="252">
        <f t="shared" ref="A723:A786" si="11">+A722+1</f>
        <v>707</v>
      </c>
      <c r="B723" s="116">
        <v>100.90906332886607</v>
      </c>
      <c r="C723" s="116">
        <v>101.57119301553573</v>
      </c>
      <c r="D723" s="116">
        <v>98.041500713586075</v>
      </c>
      <c r="E723" s="116">
        <v>93.859994780923714</v>
      </c>
      <c r="F723" s="116">
        <v>94.479801682494383</v>
      </c>
    </row>
    <row r="724" spans="1:6" x14ac:dyDescent="0.25">
      <c r="A724" s="252">
        <f t="shared" si="11"/>
        <v>708</v>
      </c>
      <c r="B724" s="116">
        <v>105.02437742272778</v>
      </c>
      <c r="C724" s="116">
        <v>98.01429688790131</v>
      </c>
      <c r="D724" s="116">
        <v>96.946970363759988</v>
      </c>
      <c r="E724" s="116">
        <v>93.93386967397214</v>
      </c>
      <c r="F724" s="116">
        <v>92.9738773691966</v>
      </c>
    </row>
    <row r="725" spans="1:6" x14ac:dyDescent="0.25">
      <c r="A725" s="252">
        <f t="shared" si="11"/>
        <v>709</v>
      </c>
      <c r="B725" s="116">
        <v>102.62836715132914</v>
      </c>
      <c r="C725" s="116">
        <v>99.706986793378846</v>
      </c>
      <c r="D725" s="116">
        <v>95.493206794127786</v>
      </c>
      <c r="E725" s="116">
        <v>93.81704480251517</v>
      </c>
      <c r="F725" s="116">
        <v>92.967294904593146</v>
      </c>
    </row>
    <row r="726" spans="1:6" x14ac:dyDescent="0.25">
      <c r="A726" s="252">
        <f t="shared" si="11"/>
        <v>710</v>
      </c>
      <c r="B726" s="116">
        <v>102.28094986959448</v>
      </c>
      <c r="C726" s="116">
        <v>99.47305266242202</v>
      </c>
      <c r="D726" s="116">
        <v>94.890004417115591</v>
      </c>
      <c r="E726" s="116">
        <v>95.766456904570362</v>
      </c>
      <c r="F726" s="116">
        <v>91.646053913577262</v>
      </c>
    </row>
    <row r="727" spans="1:6" x14ac:dyDescent="0.25">
      <c r="A727" s="252">
        <f t="shared" si="11"/>
        <v>711</v>
      </c>
      <c r="B727" s="116">
        <v>101.40807129966815</v>
      </c>
      <c r="C727" s="116">
        <v>97.512764706565264</v>
      </c>
      <c r="D727" s="116">
        <v>96.221972818836036</v>
      </c>
      <c r="E727" s="116">
        <v>94.171998849802279</v>
      </c>
      <c r="F727" s="116">
        <v>92.493289285510187</v>
      </c>
    </row>
    <row r="728" spans="1:6" x14ac:dyDescent="0.25">
      <c r="A728" s="252">
        <f t="shared" si="11"/>
        <v>712</v>
      </c>
      <c r="B728" s="116">
        <v>101.78644983095488</v>
      </c>
      <c r="C728" s="116">
        <v>99.545333013281791</v>
      </c>
      <c r="D728" s="116">
        <v>98.564366230670601</v>
      </c>
      <c r="E728" s="116">
        <v>96.197766549085841</v>
      </c>
      <c r="F728" s="116">
        <v>91.803464270720042</v>
      </c>
    </row>
    <row r="729" spans="1:6" x14ac:dyDescent="0.25">
      <c r="A729" s="252">
        <f t="shared" si="11"/>
        <v>713</v>
      </c>
      <c r="B729" s="116">
        <v>103.53629280769837</v>
      </c>
      <c r="C729" s="116">
        <v>97.09909720546861</v>
      </c>
      <c r="D729" s="116">
        <v>93.45226972622099</v>
      </c>
      <c r="E729" s="116">
        <v>96.710083854930431</v>
      </c>
      <c r="F729" s="116">
        <v>91.871665293734438</v>
      </c>
    </row>
    <row r="730" spans="1:6" x14ac:dyDescent="0.25">
      <c r="A730" s="252">
        <f t="shared" si="11"/>
        <v>714</v>
      </c>
      <c r="B730" s="116">
        <v>103.13224830445073</v>
      </c>
      <c r="C730" s="116">
        <v>99.12972661591364</v>
      </c>
      <c r="D730" s="116">
        <v>96.584006636848088</v>
      </c>
      <c r="E730" s="116">
        <v>94.831676327116682</v>
      </c>
      <c r="F730" s="116">
        <v>92.553065962786263</v>
      </c>
    </row>
    <row r="731" spans="1:6" x14ac:dyDescent="0.25">
      <c r="A731" s="252">
        <f t="shared" si="11"/>
        <v>715</v>
      </c>
      <c r="B731" s="116">
        <v>101.67477607615308</v>
      </c>
      <c r="C731" s="116">
        <v>99.380083888739762</v>
      </c>
      <c r="D731" s="116">
        <v>96.116685559211291</v>
      </c>
      <c r="E731" s="116">
        <v>94.100188728228858</v>
      </c>
      <c r="F731" s="116">
        <v>93.322526879640748</v>
      </c>
    </row>
    <row r="732" spans="1:6" x14ac:dyDescent="0.25">
      <c r="A732" s="252">
        <f t="shared" si="11"/>
        <v>716</v>
      </c>
      <c r="B732" s="116">
        <v>103.61722212374029</v>
      </c>
      <c r="C732" s="116">
        <v>100.66802118088175</v>
      </c>
      <c r="D732" s="116">
        <v>98.277989542920452</v>
      </c>
      <c r="E732" s="116">
        <v>93.385664749131408</v>
      </c>
      <c r="F732" s="116">
        <v>92.613777758232587</v>
      </c>
    </row>
    <row r="733" spans="1:6" x14ac:dyDescent="0.25">
      <c r="A733" s="252">
        <f t="shared" si="11"/>
        <v>717</v>
      </c>
      <c r="B733" s="116">
        <v>104.13728173301266</v>
      </c>
      <c r="C733" s="116">
        <v>97.243950075281163</v>
      </c>
      <c r="D733" s="116">
        <v>95.77921590174978</v>
      </c>
      <c r="E733" s="116">
        <v>96.306240257873469</v>
      </c>
      <c r="F733" s="116">
        <v>93.06087342628409</v>
      </c>
    </row>
    <row r="734" spans="1:6" x14ac:dyDescent="0.25">
      <c r="A734" s="252">
        <f t="shared" si="11"/>
        <v>718</v>
      </c>
      <c r="B734" s="116">
        <v>99.825875419935798</v>
      </c>
      <c r="C734" s="116">
        <v>100.56257100278498</v>
      </c>
      <c r="D734" s="116">
        <v>98.307649637369124</v>
      </c>
      <c r="E734" s="116">
        <v>94.151143260150675</v>
      </c>
      <c r="F734" s="116">
        <v>91.755640386030649</v>
      </c>
    </row>
    <row r="735" spans="1:6" x14ac:dyDescent="0.25">
      <c r="A735" s="252">
        <f t="shared" si="11"/>
        <v>719</v>
      </c>
      <c r="B735" s="116">
        <v>101.21655887542174</v>
      </c>
      <c r="C735" s="116">
        <v>101.78286854380471</v>
      </c>
      <c r="D735" s="116">
        <v>98.163020001695074</v>
      </c>
      <c r="E735" s="116">
        <v>96.92489856193238</v>
      </c>
      <c r="F735" s="116">
        <v>92.807258311373147</v>
      </c>
    </row>
    <row r="736" spans="1:6" x14ac:dyDescent="0.25">
      <c r="A736" s="252">
        <f t="shared" si="11"/>
        <v>720</v>
      </c>
      <c r="B736" s="116">
        <v>102.73494885169404</v>
      </c>
      <c r="C736" s="116">
        <v>99.776659697775031</v>
      </c>
      <c r="D736" s="116">
        <v>96.123990476093169</v>
      </c>
      <c r="E736" s="116">
        <v>95.529441700402131</v>
      </c>
      <c r="F736" s="116">
        <v>94.877771385331528</v>
      </c>
    </row>
    <row r="737" spans="1:6" x14ac:dyDescent="0.25">
      <c r="A737" s="252">
        <f t="shared" si="11"/>
        <v>721</v>
      </c>
      <c r="B737" s="116">
        <v>99.489076809276597</v>
      </c>
      <c r="C737" s="116">
        <v>96.742524831726328</v>
      </c>
      <c r="D737" s="116">
        <v>100.14319670376395</v>
      </c>
      <c r="E737" s="116">
        <v>95.059598106150759</v>
      </c>
      <c r="F737" s="116">
        <v>92.673611738873035</v>
      </c>
    </row>
    <row r="738" spans="1:6" x14ac:dyDescent="0.25">
      <c r="A738" s="252">
        <f t="shared" si="11"/>
        <v>722</v>
      </c>
      <c r="B738" s="116">
        <v>100.9953934031785</v>
      </c>
      <c r="C738" s="116">
        <v>99.515254803367299</v>
      </c>
      <c r="D738" s="116">
        <v>98.18416504969251</v>
      </c>
      <c r="E738" s="116">
        <v>94.69292834700893</v>
      </c>
      <c r="F738" s="116">
        <v>91.684575590616888</v>
      </c>
    </row>
    <row r="739" spans="1:6" x14ac:dyDescent="0.25">
      <c r="A739" s="252">
        <f t="shared" si="11"/>
        <v>723</v>
      </c>
      <c r="B739" s="116">
        <v>99.555672596355009</v>
      </c>
      <c r="C739" s="116">
        <v>97.691616028001604</v>
      </c>
      <c r="D739" s="116">
        <v>98.304092732471474</v>
      </c>
      <c r="E739" s="116">
        <v>94.596977021341232</v>
      </c>
      <c r="F739" s="116">
        <v>92.895075795904745</v>
      </c>
    </row>
    <row r="740" spans="1:6" x14ac:dyDescent="0.25">
      <c r="A740" s="252">
        <f t="shared" si="11"/>
        <v>724</v>
      </c>
      <c r="B740" s="116">
        <v>104.71246011838254</v>
      </c>
      <c r="C740" s="116">
        <v>98.910304031867355</v>
      </c>
      <c r="D740" s="116">
        <v>98.530074150294027</v>
      </c>
      <c r="E740" s="116">
        <v>93.956214096041464</v>
      </c>
      <c r="F740" s="116">
        <v>92.212937120510389</v>
      </c>
    </row>
    <row r="741" spans="1:6" x14ac:dyDescent="0.25">
      <c r="A741" s="252">
        <f t="shared" si="11"/>
        <v>725</v>
      </c>
      <c r="B741" s="116">
        <v>102.52049751887235</v>
      </c>
      <c r="C741" s="116">
        <v>99.256800561543159</v>
      </c>
      <c r="D741" s="116">
        <v>94.989225231912414</v>
      </c>
      <c r="E741" s="116">
        <v>95.474210610867658</v>
      </c>
      <c r="F741" s="116">
        <v>93.276304279711169</v>
      </c>
    </row>
    <row r="742" spans="1:6" x14ac:dyDescent="0.25">
      <c r="A742" s="252">
        <f t="shared" si="11"/>
        <v>726</v>
      </c>
      <c r="B742" s="116">
        <v>100.76091703513914</v>
      </c>
      <c r="C742" s="116">
        <v>97.76385344785632</v>
      </c>
      <c r="D742" s="116">
        <v>98.449789669795422</v>
      </c>
      <c r="E742" s="116">
        <v>95.982054818271436</v>
      </c>
      <c r="F742" s="116">
        <v>92.80643664200521</v>
      </c>
    </row>
    <row r="743" spans="1:6" x14ac:dyDescent="0.25">
      <c r="A743" s="252">
        <f t="shared" si="11"/>
        <v>727</v>
      </c>
      <c r="B743" s="116">
        <v>101.60143248920045</v>
      </c>
      <c r="C743" s="116">
        <v>99.636408053938041</v>
      </c>
      <c r="D743" s="116">
        <v>96.382535991769174</v>
      </c>
      <c r="E743" s="116">
        <v>95.5843844876416</v>
      </c>
      <c r="F743" s="116">
        <v>91.637903844549982</v>
      </c>
    </row>
    <row r="744" spans="1:6" x14ac:dyDescent="0.25">
      <c r="A744" s="252">
        <f t="shared" si="11"/>
        <v>728</v>
      </c>
      <c r="B744" s="116">
        <v>98.061365236671165</v>
      </c>
      <c r="C744" s="116">
        <v>100.21346904406008</v>
      </c>
      <c r="D744" s="116">
        <v>96.970632295249985</v>
      </c>
      <c r="E744" s="116">
        <v>95.258054380989122</v>
      </c>
      <c r="F744" s="116">
        <v>92.4123584281094</v>
      </c>
    </row>
    <row r="745" spans="1:6" x14ac:dyDescent="0.25">
      <c r="A745" s="252">
        <f t="shared" si="11"/>
        <v>729</v>
      </c>
      <c r="B745" s="116">
        <v>100.82079165893772</v>
      </c>
      <c r="C745" s="116">
        <v>96.729903670839576</v>
      </c>
      <c r="D745" s="116">
        <v>97.214363911963105</v>
      </c>
      <c r="E745" s="116">
        <v>95.643881564261804</v>
      </c>
      <c r="F745" s="116">
        <v>93.579654683474061</v>
      </c>
    </row>
    <row r="746" spans="1:6" x14ac:dyDescent="0.25">
      <c r="A746" s="252">
        <f t="shared" si="11"/>
        <v>730</v>
      </c>
      <c r="B746" s="116">
        <v>101.14595806732861</v>
      </c>
      <c r="C746" s="116">
        <v>98.80626731990337</v>
      </c>
      <c r="D746" s="116">
        <v>95.468034355261722</v>
      </c>
      <c r="E746" s="116">
        <v>95.757538973783028</v>
      </c>
      <c r="F746" s="116">
        <v>93.372270627967396</v>
      </c>
    </row>
    <row r="747" spans="1:6" x14ac:dyDescent="0.25">
      <c r="A747" s="252">
        <f t="shared" si="11"/>
        <v>731</v>
      </c>
      <c r="B747" s="116">
        <v>101.57433638868238</v>
      </c>
      <c r="C747" s="116">
        <v>97.97678052775035</v>
      </c>
      <c r="D747" s="116">
        <v>99.401332981061046</v>
      </c>
      <c r="E747" s="116">
        <v>95.119782520738667</v>
      </c>
      <c r="F747" s="116">
        <v>92.532013519835616</v>
      </c>
    </row>
    <row r="748" spans="1:6" x14ac:dyDescent="0.25">
      <c r="A748" s="252">
        <f t="shared" si="11"/>
        <v>732</v>
      </c>
      <c r="B748" s="116">
        <v>106.67135370352756</v>
      </c>
      <c r="C748" s="116">
        <v>99.303831859275348</v>
      </c>
      <c r="D748" s="116">
        <v>96.313782771655582</v>
      </c>
      <c r="E748" s="116">
        <v>95.624230507811149</v>
      </c>
      <c r="F748" s="116">
        <v>93.988505750539858</v>
      </c>
    </row>
    <row r="749" spans="1:6" x14ac:dyDescent="0.25">
      <c r="A749" s="252">
        <f t="shared" si="11"/>
        <v>733</v>
      </c>
      <c r="B749" s="116">
        <v>101.47565668983636</v>
      </c>
      <c r="C749" s="116">
        <v>98.892168039716225</v>
      </c>
      <c r="D749" s="116">
        <v>100.79674392489849</v>
      </c>
      <c r="E749" s="116">
        <v>95.253347857148597</v>
      </c>
      <c r="F749" s="116">
        <v>92.799290029854703</v>
      </c>
    </row>
    <row r="750" spans="1:6" x14ac:dyDescent="0.25">
      <c r="A750" s="252">
        <f t="shared" si="11"/>
        <v>734</v>
      </c>
      <c r="B750" s="116">
        <v>102.26562460478691</v>
      </c>
      <c r="C750" s="116">
        <v>97.457120349105296</v>
      </c>
      <c r="D750" s="116">
        <v>98.939274919903752</v>
      </c>
      <c r="E750" s="116">
        <v>95.401862372669797</v>
      </c>
      <c r="F750" s="116">
        <v>92.491462032410865</v>
      </c>
    </row>
    <row r="751" spans="1:6" x14ac:dyDescent="0.25">
      <c r="A751" s="252">
        <f t="shared" si="11"/>
        <v>735</v>
      </c>
      <c r="B751" s="116">
        <v>102.19637944206075</v>
      </c>
      <c r="C751" s="116">
        <v>99.936633721151978</v>
      </c>
      <c r="D751" s="116">
        <v>96.050510258548599</v>
      </c>
      <c r="E751" s="116">
        <v>94.90025485725559</v>
      </c>
      <c r="F751" s="116">
        <v>92.739300741966801</v>
      </c>
    </row>
    <row r="752" spans="1:6" x14ac:dyDescent="0.25">
      <c r="A752" s="252">
        <f t="shared" si="11"/>
        <v>736</v>
      </c>
      <c r="B752" s="116">
        <v>102.74247540877083</v>
      </c>
      <c r="C752" s="116">
        <v>101.58341805749136</v>
      </c>
      <c r="D752" s="116">
        <v>93.812349668896942</v>
      </c>
      <c r="E752" s="116">
        <v>92.501371101388756</v>
      </c>
      <c r="F752" s="116">
        <v>92.871661605547118</v>
      </c>
    </row>
    <row r="753" spans="1:6" x14ac:dyDescent="0.25">
      <c r="A753" s="252">
        <f t="shared" si="11"/>
        <v>737</v>
      </c>
      <c r="B753" s="116">
        <v>101.79676403043186</v>
      </c>
      <c r="C753" s="116">
        <v>98.897015725528519</v>
      </c>
      <c r="D753" s="116">
        <v>98.034878062125216</v>
      </c>
      <c r="E753" s="116">
        <v>95.447639109258404</v>
      </c>
      <c r="F753" s="116">
        <v>93.269546583346226</v>
      </c>
    </row>
    <row r="754" spans="1:6" x14ac:dyDescent="0.25">
      <c r="A754" s="252">
        <f t="shared" si="11"/>
        <v>738</v>
      </c>
      <c r="B754" s="116">
        <v>102.44676633204492</v>
      </c>
      <c r="C754" s="116">
        <v>100.09595860232658</v>
      </c>
      <c r="D754" s="116">
        <v>96.32582212081229</v>
      </c>
      <c r="E754" s="116">
        <v>92.993837326108974</v>
      </c>
      <c r="F754" s="116">
        <v>93.442908203762585</v>
      </c>
    </row>
    <row r="755" spans="1:6" x14ac:dyDescent="0.25">
      <c r="A755" s="252">
        <f t="shared" si="11"/>
        <v>739</v>
      </c>
      <c r="B755" s="116">
        <v>99.212122735560683</v>
      </c>
      <c r="C755" s="116">
        <v>100.25181048030419</v>
      </c>
      <c r="D755" s="116">
        <v>98.052062586694504</v>
      </c>
      <c r="E755" s="116">
        <v>93.874883343157151</v>
      </c>
      <c r="F755" s="116">
        <v>92.333463326471346</v>
      </c>
    </row>
    <row r="756" spans="1:6" x14ac:dyDescent="0.25">
      <c r="A756" s="252">
        <f t="shared" si="11"/>
        <v>740</v>
      </c>
      <c r="B756" s="116">
        <v>104.00825751478423</v>
      </c>
      <c r="C756" s="116">
        <v>100.28422951194167</v>
      </c>
      <c r="D756" s="116">
        <v>94.358039382910619</v>
      </c>
      <c r="E756" s="116">
        <v>94.638858005878092</v>
      </c>
      <c r="F756" s="116">
        <v>92.734550022294997</v>
      </c>
    </row>
    <row r="757" spans="1:6" x14ac:dyDescent="0.25">
      <c r="A757" s="252">
        <f t="shared" si="11"/>
        <v>741</v>
      </c>
      <c r="B757" s="116">
        <v>101.88069175168006</v>
      </c>
      <c r="C757" s="116">
        <v>98.34556061956124</v>
      </c>
      <c r="D757" s="116">
        <v>99.229493239543118</v>
      </c>
      <c r="E757" s="116">
        <v>94.900216487399035</v>
      </c>
      <c r="F757" s="116">
        <v>93.655192012124331</v>
      </c>
    </row>
    <row r="758" spans="1:6" x14ac:dyDescent="0.25">
      <c r="A758" s="252">
        <f t="shared" si="11"/>
        <v>742</v>
      </c>
      <c r="B758" s="116">
        <v>101.30303009870507</v>
      </c>
      <c r="C758" s="116">
        <v>97.00984647211213</v>
      </c>
      <c r="D758" s="116">
        <v>95.595258111133361</v>
      </c>
      <c r="E758" s="116">
        <v>93.845333079902105</v>
      </c>
      <c r="F758" s="116">
        <v>91.495165958842662</v>
      </c>
    </row>
    <row r="759" spans="1:6" x14ac:dyDescent="0.25">
      <c r="A759" s="252">
        <f t="shared" si="11"/>
        <v>743</v>
      </c>
      <c r="B759" s="116">
        <v>100.2820440694059</v>
      </c>
      <c r="C759" s="116">
        <v>98.140544208570034</v>
      </c>
      <c r="D759" s="116">
        <v>93.642000323744568</v>
      </c>
      <c r="E759" s="116">
        <v>94.672514857400799</v>
      </c>
      <c r="F759" s="116">
        <v>94.399371202834303</v>
      </c>
    </row>
    <row r="760" spans="1:6" x14ac:dyDescent="0.25">
      <c r="A760" s="252">
        <f t="shared" si="11"/>
        <v>744</v>
      </c>
      <c r="B760" s="116">
        <v>100.75335243844532</v>
      </c>
      <c r="C760" s="116">
        <v>100.45903890813742</v>
      </c>
      <c r="D760" s="116">
        <v>98.191348240554177</v>
      </c>
      <c r="E760" s="116">
        <v>95.299634021402738</v>
      </c>
      <c r="F760" s="116">
        <v>91.795481882814414</v>
      </c>
    </row>
    <row r="761" spans="1:6" x14ac:dyDescent="0.25">
      <c r="A761" s="252">
        <f t="shared" si="11"/>
        <v>745</v>
      </c>
      <c r="B761" s="116">
        <v>104.07438802352031</v>
      </c>
      <c r="C761" s="116">
        <v>97.024357848753212</v>
      </c>
      <c r="D761" s="116">
        <v>101.02894737900046</v>
      </c>
      <c r="E761" s="116">
        <v>94.461685192829549</v>
      </c>
      <c r="F761" s="116">
        <v>91.937923988445846</v>
      </c>
    </row>
    <row r="762" spans="1:6" x14ac:dyDescent="0.25">
      <c r="A762" s="252">
        <f t="shared" si="11"/>
        <v>746</v>
      </c>
      <c r="B762" s="116">
        <v>101.1177783343629</v>
      </c>
      <c r="C762" s="116">
        <v>99.412663846005273</v>
      </c>
      <c r="D762" s="116">
        <v>96.707053942389408</v>
      </c>
      <c r="E762" s="116">
        <v>96.467938384797577</v>
      </c>
      <c r="F762" s="116">
        <v>92.813500537035878</v>
      </c>
    </row>
    <row r="763" spans="1:6" x14ac:dyDescent="0.25">
      <c r="A763" s="252">
        <f t="shared" si="11"/>
        <v>747</v>
      </c>
      <c r="B763" s="116">
        <v>103.42351891713552</v>
      </c>
      <c r="C763" s="116">
        <v>100.97882620023792</v>
      </c>
      <c r="D763" s="116">
        <v>98.20783894475214</v>
      </c>
      <c r="E763" s="116">
        <v>95.906179969341125</v>
      </c>
      <c r="F763" s="116">
        <v>94.772817980022268</v>
      </c>
    </row>
    <row r="764" spans="1:6" x14ac:dyDescent="0.25">
      <c r="A764" s="252">
        <f t="shared" si="11"/>
        <v>748</v>
      </c>
      <c r="B764" s="116">
        <v>102.98818266974197</v>
      </c>
      <c r="C764" s="116">
        <v>96.069136051247128</v>
      </c>
      <c r="D764" s="116">
        <v>97.619705454781069</v>
      </c>
      <c r="E764" s="116">
        <v>96.867950187887629</v>
      </c>
      <c r="F764" s="116">
        <v>92.132148081478888</v>
      </c>
    </row>
    <row r="765" spans="1:6" x14ac:dyDescent="0.25">
      <c r="A765" s="252">
        <f t="shared" si="11"/>
        <v>749</v>
      </c>
      <c r="B765" s="116">
        <v>104.12037963947434</v>
      </c>
      <c r="C765" s="116">
        <v>100.58834265347193</v>
      </c>
      <c r="D765" s="116">
        <v>96.766357134154219</v>
      </c>
      <c r="E765" s="116">
        <v>93.750595659834289</v>
      </c>
      <c r="F765" s="116">
        <v>91.258506279282628</v>
      </c>
    </row>
    <row r="766" spans="1:6" x14ac:dyDescent="0.25">
      <c r="A766" s="252">
        <f t="shared" si="11"/>
        <v>750</v>
      </c>
      <c r="B766" s="116">
        <v>99.569223049116104</v>
      </c>
      <c r="C766" s="116">
        <v>98.55129606018771</v>
      </c>
      <c r="D766" s="116">
        <v>98.141583264519141</v>
      </c>
      <c r="E766" s="116">
        <v>93.944636018481333</v>
      </c>
      <c r="F766" s="116">
        <v>92.403831907147563</v>
      </c>
    </row>
    <row r="767" spans="1:6" x14ac:dyDescent="0.25">
      <c r="A767" s="252">
        <f t="shared" si="11"/>
        <v>751</v>
      </c>
      <c r="B767" s="116">
        <v>96.981024286044189</v>
      </c>
      <c r="C767" s="116">
        <v>97.89925858624305</v>
      </c>
      <c r="D767" s="116">
        <v>98.857373758549642</v>
      </c>
      <c r="E767" s="116">
        <v>95.934411985711478</v>
      </c>
      <c r="F767" s="116">
        <v>93.754345396832306</v>
      </c>
    </row>
    <row r="768" spans="1:6" x14ac:dyDescent="0.25">
      <c r="A768" s="252">
        <f t="shared" si="11"/>
        <v>752</v>
      </c>
      <c r="B768" s="116">
        <v>103.98790855040292</v>
      </c>
      <c r="C768" s="116">
        <v>97.196689475148773</v>
      </c>
      <c r="D768" s="116">
        <v>99.118814123169528</v>
      </c>
      <c r="E768" s="116">
        <v>96.141756245877602</v>
      </c>
      <c r="F768" s="116">
        <v>93.316746361258907</v>
      </c>
    </row>
    <row r="769" spans="1:6" x14ac:dyDescent="0.25">
      <c r="A769" s="252">
        <f t="shared" si="11"/>
        <v>753</v>
      </c>
      <c r="B769" s="116">
        <v>102.39297520821877</v>
      </c>
      <c r="C769" s="116">
        <v>99.938395031322401</v>
      </c>
      <c r="D769" s="116">
        <v>94.700746285068533</v>
      </c>
      <c r="E769" s="116">
        <v>96.528586381175785</v>
      </c>
      <c r="F769" s="116">
        <v>92.44659093459606</v>
      </c>
    </row>
    <row r="770" spans="1:6" x14ac:dyDescent="0.25">
      <c r="A770" s="252">
        <f t="shared" si="11"/>
        <v>754</v>
      </c>
      <c r="B770" s="116">
        <v>101.80831698899141</v>
      </c>
      <c r="C770" s="116">
        <v>100.53128808496042</v>
      </c>
      <c r="D770" s="116">
        <v>95.928584128682431</v>
      </c>
      <c r="E770" s="116">
        <v>95.785997256308377</v>
      </c>
      <c r="F770" s="116">
        <v>92.660241193989847</v>
      </c>
    </row>
    <row r="771" spans="1:6" x14ac:dyDescent="0.25">
      <c r="A771" s="252">
        <f t="shared" si="11"/>
        <v>755</v>
      </c>
      <c r="B771" s="116">
        <v>101.39689647912738</v>
      </c>
      <c r="C771" s="116">
        <v>99.796685486613413</v>
      </c>
      <c r="D771" s="116">
        <v>97.703230307116641</v>
      </c>
      <c r="E771" s="116">
        <v>96.716545885003399</v>
      </c>
      <c r="F771" s="116">
        <v>92.912089609415915</v>
      </c>
    </row>
    <row r="772" spans="1:6" x14ac:dyDescent="0.25">
      <c r="A772" s="252">
        <f t="shared" si="11"/>
        <v>756</v>
      </c>
      <c r="B772" s="116">
        <v>102.19949882760451</v>
      </c>
      <c r="C772" s="116">
        <v>94.062834801120701</v>
      </c>
      <c r="D772" s="116">
        <v>94.898429707327253</v>
      </c>
      <c r="E772" s="116">
        <v>95.180473247032893</v>
      </c>
      <c r="F772" s="116">
        <v>92.890122535811102</v>
      </c>
    </row>
    <row r="773" spans="1:6" x14ac:dyDescent="0.25">
      <c r="A773" s="252">
        <f t="shared" si="11"/>
        <v>757</v>
      </c>
      <c r="B773" s="116">
        <v>99.437263522571243</v>
      </c>
      <c r="C773" s="116">
        <v>98.321216193237746</v>
      </c>
      <c r="D773" s="116">
        <v>96.537656664430472</v>
      </c>
      <c r="E773" s="116">
        <v>95.032762948509969</v>
      </c>
      <c r="F773" s="116">
        <v>93.614843854323453</v>
      </c>
    </row>
    <row r="774" spans="1:6" x14ac:dyDescent="0.25">
      <c r="A774" s="252">
        <f t="shared" si="11"/>
        <v>758</v>
      </c>
      <c r="B774" s="116">
        <v>103.42063150960837</v>
      </c>
      <c r="C774" s="116">
        <v>98.797267793101298</v>
      </c>
      <c r="D774" s="116">
        <v>95.725227425626144</v>
      </c>
      <c r="E774" s="116">
        <v>96.419405581430141</v>
      </c>
      <c r="F774" s="116">
        <v>94.0316331799376</v>
      </c>
    </row>
    <row r="775" spans="1:6" x14ac:dyDescent="0.25">
      <c r="A775" s="252">
        <f t="shared" si="11"/>
        <v>759</v>
      </c>
      <c r="B775" s="116">
        <v>101.57303352152796</v>
      </c>
      <c r="C775" s="116">
        <v>97.320490786556419</v>
      </c>
      <c r="D775" s="116">
        <v>99.134997323580436</v>
      </c>
      <c r="E775" s="116">
        <v>97.078050876010764</v>
      </c>
      <c r="F775" s="116">
        <v>93.177656247164037</v>
      </c>
    </row>
    <row r="776" spans="1:6" x14ac:dyDescent="0.25">
      <c r="A776" s="252">
        <f t="shared" si="11"/>
        <v>760</v>
      </c>
      <c r="B776" s="116">
        <v>102.97150599609979</v>
      </c>
      <c r="C776" s="116">
        <v>96.967085659884489</v>
      </c>
      <c r="D776" s="116">
        <v>97.611350593288407</v>
      </c>
      <c r="E776" s="116">
        <v>97.109667432115131</v>
      </c>
      <c r="F776" s="116">
        <v>91.231532375788007</v>
      </c>
    </row>
    <row r="777" spans="1:6" x14ac:dyDescent="0.25">
      <c r="A777" s="252">
        <f t="shared" si="11"/>
        <v>761</v>
      </c>
      <c r="B777" s="116">
        <v>102.11262223957009</v>
      </c>
      <c r="C777" s="116">
        <v>98.480309747269132</v>
      </c>
      <c r="D777" s="116">
        <v>96.093092863565914</v>
      </c>
      <c r="E777" s="116">
        <v>95.375637955651342</v>
      </c>
      <c r="F777" s="116">
        <v>93.771009442590824</v>
      </c>
    </row>
    <row r="778" spans="1:6" x14ac:dyDescent="0.25">
      <c r="A778" s="252">
        <f t="shared" si="11"/>
        <v>762</v>
      </c>
      <c r="B778" s="116">
        <v>105.10428211625889</v>
      </c>
      <c r="C778" s="116">
        <v>100.80622433778085</v>
      </c>
      <c r="D778" s="116">
        <v>95.306108740552702</v>
      </c>
      <c r="E778" s="116">
        <v>94.338119637881391</v>
      </c>
      <c r="F778" s="116">
        <v>91.523519222066724</v>
      </c>
    </row>
    <row r="779" spans="1:6" x14ac:dyDescent="0.25">
      <c r="A779" s="252">
        <f t="shared" si="11"/>
        <v>763</v>
      </c>
      <c r="B779" s="116">
        <v>103.28290606237351</v>
      </c>
      <c r="C779" s="116">
        <v>98.27905084909267</v>
      </c>
      <c r="D779" s="116">
        <v>94.982876321868133</v>
      </c>
      <c r="E779" s="116">
        <v>94.827788957507877</v>
      </c>
      <c r="F779" s="116">
        <v>92.586006127247373</v>
      </c>
    </row>
    <row r="780" spans="1:6" x14ac:dyDescent="0.25">
      <c r="A780" s="252">
        <f t="shared" si="11"/>
        <v>764</v>
      </c>
      <c r="B780" s="116">
        <v>103.94415791362491</v>
      </c>
      <c r="C780" s="116">
        <v>99.338797969212933</v>
      </c>
      <c r="D780" s="116">
        <v>96.586502213095585</v>
      </c>
      <c r="E780" s="116">
        <v>94.604444986267652</v>
      </c>
      <c r="F780" s="116">
        <v>92.73830415028759</v>
      </c>
    </row>
    <row r="781" spans="1:6" x14ac:dyDescent="0.25">
      <c r="A781" s="252">
        <f t="shared" si="11"/>
        <v>765</v>
      </c>
      <c r="B781" s="116">
        <v>104.81304431453304</v>
      </c>
      <c r="C781" s="116">
        <v>101.11699308608483</v>
      </c>
      <c r="D781" s="116">
        <v>99.462392911080357</v>
      </c>
      <c r="E781" s="116">
        <v>93.397117973071914</v>
      </c>
      <c r="F781" s="116">
        <v>94.634628241247242</v>
      </c>
    </row>
    <row r="782" spans="1:6" x14ac:dyDescent="0.25">
      <c r="A782" s="252">
        <f t="shared" si="11"/>
        <v>766</v>
      </c>
      <c r="B782" s="116">
        <v>101.9929025054974</v>
      </c>
      <c r="C782" s="116">
        <v>98.28415648168783</v>
      </c>
      <c r="D782" s="116">
        <v>98.530208473033667</v>
      </c>
      <c r="E782" s="116">
        <v>95.107427845511637</v>
      </c>
      <c r="F782" s="116">
        <v>93.099729938083868</v>
      </c>
    </row>
    <row r="783" spans="1:6" x14ac:dyDescent="0.25">
      <c r="A783" s="252">
        <f t="shared" si="11"/>
        <v>767</v>
      </c>
      <c r="B783" s="116">
        <v>100.04207264996651</v>
      </c>
      <c r="C783" s="116">
        <v>97.765841220039277</v>
      </c>
      <c r="D783" s="116">
        <v>96.956306218027208</v>
      </c>
      <c r="E783" s="116">
        <v>95.332149833714666</v>
      </c>
      <c r="F783" s="116">
        <v>94.087305398959813</v>
      </c>
    </row>
    <row r="784" spans="1:6" x14ac:dyDescent="0.25">
      <c r="A784" s="252">
        <f t="shared" si="11"/>
        <v>768</v>
      </c>
      <c r="B784" s="116">
        <v>101.50694468911317</v>
      </c>
      <c r="C784" s="116">
        <v>99.784291095697597</v>
      </c>
      <c r="D784" s="116">
        <v>96.530482056265029</v>
      </c>
      <c r="E784" s="116">
        <v>95.078652687908686</v>
      </c>
      <c r="F784" s="116">
        <v>92.933499106017123</v>
      </c>
    </row>
    <row r="785" spans="1:6" x14ac:dyDescent="0.25">
      <c r="A785" s="252">
        <f t="shared" si="11"/>
        <v>769</v>
      </c>
      <c r="B785" s="116">
        <v>102.91928912517045</v>
      </c>
      <c r="C785" s="116">
        <v>100.5870566293133</v>
      </c>
      <c r="D785" s="116">
        <v>97.359253860072755</v>
      </c>
      <c r="E785" s="116">
        <v>94.137522230018561</v>
      </c>
      <c r="F785" s="116">
        <v>91.902002616667971</v>
      </c>
    </row>
    <row r="786" spans="1:6" x14ac:dyDescent="0.25">
      <c r="A786" s="252">
        <f t="shared" si="11"/>
        <v>770</v>
      </c>
      <c r="B786" s="116">
        <v>98.923226484199091</v>
      </c>
      <c r="C786" s="116">
        <v>98.860203420247558</v>
      </c>
      <c r="D786" s="116">
        <v>94.889147300035773</v>
      </c>
      <c r="E786" s="116">
        <v>95.849173757630879</v>
      </c>
      <c r="F786" s="116">
        <v>93.145968768472216</v>
      </c>
    </row>
    <row r="787" spans="1:6" x14ac:dyDescent="0.25">
      <c r="A787" s="252">
        <f t="shared" ref="A787:A850" si="12">+A786+1</f>
        <v>771</v>
      </c>
      <c r="B787" s="116">
        <v>99.557136237931942</v>
      </c>
      <c r="C787" s="116">
        <v>100.15425813307135</v>
      </c>
      <c r="D787" s="116">
        <v>99.721623558118139</v>
      </c>
      <c r="E787" s="116">
        <v>94.19248325375581</v>
      </c>
      <c r="F787" s="116">
        <v>92.499929356170711</v>
      </c>
    </row>
    <row r="788" spans="1:6" x14ac:dyDescent="0.25">
      <c r="A788" s="252">
        <f t="shared" si="12"/>
        <v>772</v>
      </c>
      <c r="B788" s="116">
        <v>101.79327604257577</v>
      </c>
      <c r="C788" s="116">
        <v>99.996702678837408</v>
      </c>
      <c r="D788" s="116">
        <v>97.664688545733895</v>
      </c>
      <c r="E788" s="116">
        <v>94.603482796038335</v>
      </c>
      <c r="F788" s="116">
        <v>92.590074979199215</v>
      </c>
    </row>
    <row r="789" spans="1:6" x14ac:dyDescent="0.25">
      <c r="A789" s="252">
        <f t="shared" si="12"/>
        <v>773</v>
      </c>
      <c r="B789" s="116">
        <v>102.020568572388</v>
      </c>
      <c r="C789" s="116">
        <v>98.01324960086734</v>
      </c>
      <c r="D789" s="116">
        <v>96.779776995541752</v>
      </c>
      <c r="E789" s="116">
        <v>94.780790770786027</v>
      </c>
      <c r="F789" s="116">
        <v>93.186198626119435</v>
      </c>
    </row>
    <row r="790" spans="1:6" x14ac:dyDescent="0.25">
      <c r="A790" s="252">
        <f t="shared" si="12"/>
        <v>774</v>
      </c>
      <c r="B790" s="116">
        <v>104.048614450255</v>
      </c>
      <c r="C790" s="116">
        <v>100.11464479974862</v>
      </c>
      <c r="D790" s="116">
        <v>96.376247175553715</v>
      </c>
      <c r="E790" s="116">
        <v>95.277335652899154</v>
      </c>
      <c r="F790" s="116">
        <v>94.509036121580564</v>
      </c>
    </row>
    <row r="791" spans="1:6" x14ac:dyDescent="0.25">
      <c r="A791" s="252">
        <f t="shared" si="12"/>
        <v>775</v>
      </c>
      <c r="B791" s="116">
        <v>103.03714843554613</v>
      </c>
      <c r="C791" s="116">
        <v>96.635477829896999</v>
      </c>
      <c r="D791" s="116">
        <v>98.379755539083462</v>
      </c>
      <c r="E791" s="116">
        <v>96.037919082922727</v>
      </c>
      <c r="F791" s="116">
        <v>93.698540561346704</v>
      </c>
    </row>
    <row r="792" spans="1:6" x14ac:dyDescent="0.25">
      <c r="A792" s="252">
        <f t="shared" si="12"/>
        <v>776</v>
      </c>
      <c r="B792" s="116">
        <v>101.88821248864384</v>
      </c>
      <c r="C792" s="116">
        <v>100.75943422919482</v>
      </c>
      <c r="D792" s="116">
        <v>98.653629630569952</v>
      </c>
      <c r="E792" s="116">
        <v>94.071132889814265</v>
      </c>
      <c r="F792" s="116">
        <v>92.859632361548364</v>
      </c>
    </row>
    <row r="793" spans="1:6" x14ac:dyDescent="0.25">
      <c r="A793" s="252">
        <f t="shared" si="12"/>
        <v>777</v>
      </c>
      <c r="B793" s="116">
        <v>101.35314198027133</v>
      </c>
      <c r="C793" s="116">
        <v>99.554879729809031</v>
      </c>
      <c r="D793" s="116">
        <v>95.537726684603427</v>
      </c>
      <c r="E793" s="116">
        <v>95.468885637252328</v>
      </c>
      <c r="F793" s="116">
        <v>93.103091602572448</v>
      </c>
    </row>
    <row r="794" spans="1:6" x14ac:dyDescent="0.25">
      <c r="A794" s="252">
        <f t="shared" si="12"/>
        <v>778</v>
      </c>
      <c r="B794" s="116">
        <v>102.78010946171932</v>
      </c>
      <c r="C794" s="116">
        <v>101.14880713699606</v>
      </c>
      <c r="D794" s="116">
        <v>96.994670897404404</v>
      </c>
      <c r="E794" s="116">
        <v>95.110139834733317</v>
      </c>
      <c r="F794" s="116">
        <v>91.479349057004313</v>
      </c>
    </row>
    <row r="795" spans="1:6" x14ac:dyDescent="0.25">
      <c r="A795" s="252">
        <f t="shared" si="12"/>
        <v>779</v>
      </c>
      <c r="B795" s="116">
        <v>103.06275877514192</v>
      </c>
      <c r="C795" s="116">
        <v>97.706738710169162</v>
      </c>
      <c r="D795" s="116">
        <v>98.650659098131683</v>
      </c>
      <c r="E795" s="116">
        <v>94.751219059897565</v>
      </c>
      <c r="F795" s="116">
        <v>90.320101030904382</v>
      </c>
    </row>
    <row r="796" spans="1:6" x14ac:dyDescent="0.25">
      <c r="A796" s="252">
        <f t="shared" si="12"/>
        <v>780</v>
      </c>
      <c r="B796" s="116">
        <v>103.4014591059813</v>
      </c>
      <c r="C796" s="116">
        <v>96.625163633524821</v>
      </c>
      <c r="D796" s="116">
        <v>95.560009717123677</v>
      </c>
      <c r="E796" s="116">
        <v>94.648599027566874</v>
      </c>
      <c r="F796" s="116">
        <v>92.870043061965433</v>
      </c>
    </row>
    <row r="797" spans="1:6" x14ac:dyDescent="0.25">
      <c r="A797" s="252">
        <f t="shared" si="12"/>
        <v>781</v>
      </c>
      <c r="B797" s="116">
        <v>102.75098884181448</v>
      </c>
      <c r="C797" s="116">
        <v>99.626172068677619</v>
      </c>
      <c r="D797" s="116">
        <v>97.697429116198791</v>
      </c>
      <c r="E797" s="116">
        <v>94.435955118420694</v>
      </c>
      <c r="F797" s="116">
        <v>93.60084245913643</v>
      </c>
    </row>
    <row r="798" spans="1:6" x14ac:dyDescent="0.25">
      <c r="A798" s="252">
        <f t="shared" si="12"/>
        <v>782</v>
      </c>
      <c r="B798" s="116">
        <v>102.52055607977636</v>
      </c>
      <c r="C798" s="116">
        <v>102.12743000123379</v>
      </c>
      <c r="D798" s="116">
        <v>98.205297766396782</v>
      </c>
      <c r="E798" s="116">
        <v>93.97766462502679</v>
      </c>
      <c r="F798" s="116">
        <v>92.948663027709216</v>
      </c>
    </row>
    <row r="799" spans="1:6" x14ac:dyDescent="0.25">
      <c r="A799" s="252">
        <f t="shared" si="12"/>
        <v>783</v>
      </c>
      <c r="B799" s="116">
        <v>99.746924395188685</v>
      </c>
      <c r="C799" s="116">
        <v>96.428832512606078</v>
      </c>
      <c r="D799" s="116">
        <v>96.949122844212454</v>
      </c>
      <c r="E799" s="116">
        <v>96.948254292753958</v>
      </c>
      <c r="F799" s="116">
        <v>90.804502941431778</v>
      </c>
    </row>
    <row r="800" spans="1:6" x14ac:dyDescent="0.25">
      <c r="A800" s="252">
        <f t="shared" si="12"/>
        <v>784</v>
      </c>
      <c r="B800" s="116">
        <v>104.46181662155951</v>
      </c>
      <c r="C800" s="116">
        <v>99.727902724108418</v>
      </c>
      <c r="D800" s="116">
        <v>97.886570006253194</v>
      </c>
      <c r="E800" s="116">
        <v>94.963282183099011</v>
      </c>
      <c r="F800" s="116">
        <v>93.547101874222747</v>
      </c>
    </row>
    <row r="801" spans="1:6" x14ac:dyDescent="0.25">
      <c r="A801" s="252">
        <f t="shared" si="12"/>
        <v>785</v>
      </c>
      <c r="B801" s="116">
        <v>103.23374381980717</v>
      </c>
      <c r="C801" s="116">
        <v>99.064331821778168</v>
      </c>
      <c r="D801" s="116">
        <v>94.629099711089268</v>
      </c>
      <c r="E801" s="116">
        <v>94.612051946152889</v>
      </c>
      <c r="F801" s="116">
        <v>92.418393392616807</v>
      </c>
    </row>
    <row r="802" spans="1:6" x14ac:dyDescent="0.25">
      <c r="A802" s="252">
        <f t="shared" si="12"/>
        <v>786</v>
      </c>
      <c r="B802" s="116">
        <v>100.1883527287802</v>
      </c>
      <c r="C802" s="116">
        <v>100.40849172833637</v>
      </c>
      <c r="D802" s="116">
        <v>96.980849757808812</v>
      </c>
      <c r="E802" s="116">
        <v>94.613031925603678</v>
      </c>
      <c r="F802" s="116">
        <v>94.927591450455267</v>
      </c>
    </row>
    <row r="803" spans="1:6" x14ac:dyDescent="0.25">
      <c r="A803" s="252">
        <f t="shared" si="12"/>
        <v>787</v>
      </c>
      <c r="B803" s="116">
        <v>104.11245539449638</v>
      </c>
      <c r="C803" s="116">
        <v>96.303468107326552</v>
      </c>
      <c r="D803" s="116">
        <v>94.443157812070311</v>
      </c>
      <c r="E803" s="116">
        <v>93.533737521875437</v>
      </c>
      <c r="F803" s="116">
        <v>92.09447400324369</v>
      </c>
    </row>
    <row r="804" spans="1:6" x14ac:dyDescent="0.25">
      <c r="A804" s="252">
        <f t="shared" si="12"/>
        <v>788</v>
      </c>
      <c r="B804" s="116">
        <v>99.713819546727422</v>
      </c>
      <c r="C804" s="116">
        <v>97.489813628201404</v>
      </c>
      <c r="D804" s="116">
        <v>97.423744585432345</v>
      </c>
      <c r="E804" s="116">
        <v>95.161032466607352</v>
      </c>
      <c r="F804" s="116">
        <v>93.482676814726631</v>
      </c>
    </row>
    <row r="805" spans="1:6" x14ac:dyDescent="0.25">
      <c r="A805" s="252">
        <f t="shared" si="12"/>
        <v>789</v>
      </c>
      <c r="B805" s="116">
        <v>99.882440300582786</v>
      </c>
      <c r="C805" s="116">
        <v>99.16005392828815</v>
      </c>
      <c r="D805" s="116">
        <v>96.14966842340462</v>
      </c>
      <c r="E805" s="116">
        <v>94.757963066885594</v>
      </c>
      <c r="F805" s="116">
        <v>93.971578133812841</v>
      </c>
    </row>
    <row r="806" spans="1:6" x14ac:dyDescent="0.25">
      <c r="A806" s="252">
        <f t="shared" si="12"/>
        <v>790</v>
      </c>
      <c r="B806" s="116">
        <v>102.52068430625722</v>
      </c>
      <c r="C806" s="116">
        <v>101.08980765329234</v>
      </c>
      <c r="D806" s="116">
        <v>94.998496020017797</v>
      </c>
      <c r="E806" s="116">
        <v>93.879040767505927</v>
      </c>
      <c r="F806" s="116">
        <v>92.257617816450932</v>
      </c>
    </row>
    <row r="807" spans="1:6" x14ac:dyDescent="0.25">
      <c r="A807" s="252">
        <f t="shared" si="12"/>
        <v>791</v>
      </c>
      <c r="B807" s="116">
        <v>104.16688041534127</v>
      </c>
      <c r="C807" s="116">
        <v>98.365758747266923</v>
      </c>
      <c r="D807" s="116">
        <v>97.949097206063399</v>
      </c>
      <c r="E807" s="116">
        <v>95.021658836009834</v>
      </c>
      <c r="F807" s="116">
        <v>91.191569719059984</v>
      </c>
    </row>
    <row r="808" spans="1:6" x14ac:dyDescent="0.25">
      <c r="A808" s="252">
        <f t="shared" si="12"/>
        <v>792</v>
      </c>
      <c r="B808" s="116">
        <v>101.52657782179574</v>
      </c>
      <c r="C808" s="116">
        <v>99.61080044009384</v>
      </c>
      <c r="D808" s="116">
        <v>99.87369441694878</v>
      </c>
      <c r="E808" s="116">
        <v>96.912590063329887</v>
      </c>
      <c r="F808" s="116">
        <v>93.425567708863596</v>
      </c>
    </row>
    <row r="809" spans="1:6" x14ac:dyDescent="0.25">
      <c r="A809" s="252">
        <f t="shared" si="12"/>
        <v>793</v>
      </c>
      <c r="B809" s="116">
        <v>106.41823849471442</v>
      </c>
      <c r="C809" s="116">
        <v>97.725308725403067</v>
      </c>
      <c r="D809" s="116">
        <v>98.645255768219727</v>
      </c>
      <c r="E809" s="116">
        <v>93.499147202223995</v>
      </c>
      <c r="F809" s="116">
        <v>93.343437852954992</v>
      </c>
    </row>
    <row r="810" spans="1:6" x14ac:dyDescent="0.25">
      <c r="A810" s="252">
        <f t="shared" si="12"/>
        <v>794</v>
      </c>
      <c r="B810" s="116">
        <v>104.07658302612184</v>
      </c>
      <c r="C810" s="116">
        <v>98.490198593267507</v>
      </c>
      <c r="D810" s="116">
        <v>94.867261537212045</v>
      </c>
      <c r="E810" s="116">
        <v>96.331147106049031</v>
      </c>
      <c r="F810" s="116">
        <v>95.438663888205724</v>
      </c>
    </row>
    <row r="811" spans="1:6" x14ac:dyDescent="0.25">
      <c r="A811" s="252">
        <f t="shared" si="12"/>
        <v>795</v>
      </c>
      <c r="B811" s="116">
        <v>98.959996366416249</v>
      </c>
      <c r="C811" s="116">
        <v>99.285903187093837</v>
      </c>
      <c r="D811" s="116">
        <v>97.575950982240187</v>
      </c>
      <c r="E811" s="116">
        <v>96.111433169335086</v>
      </c>
      <c r="F811" s="116">
        <v>94.414452200993424</v>
      </c>
    </row>
    <row r="812" spans="1:6" x14ac:dyDescent="0.25">
      <c r="A812" s="252">
        <f t="shared" si="12"/>
        <v>796</v>
      </c>
      <c r="B812" s="116">
        <v>101.76812437566977</v>
      </c>
      <c r="C812" s="116">
        <v>98.049546171860896</v>
      </c>
      <c r="D812" s="116">
        <v>97.089257248406625</v>
      </c>
      <c r="E812" s="116">
        <v>94.872155788214798</v>
      </c>
      <c r="F812" s="116">
        <v>92.211415265712475</v>
      </c>
    </row>
    <row r="813" spans="1:6" x14ac:dyDescent="0.25">
      <c r="A813" s="252">
        <f t="shared" si="12"/>
        <v>797</v>
      </c>
      <c r="B813" s="116">
        <v>101.54288245514691</v>
      </c>
      <c r="C813" s="116">
        <v>98.224624661783196</v>
      </c>
      <c r="D813" s="116">
        <v>101.22475439881005</v>
      </c>
      <c r="E813" s="116">
        <v>94.19071623481112</v>
      </c>
      <c r="F813" s="116">
        <v>91.701227325227521</v>
      </c>
    </row>
    <row r="814" spans="1:6" x14ac:dyDescent="0.25">
      <c r="A814" s="252">
        <f t="shared" si="12"/>
        <v>798</v>
      </c>
      <c r="B814" s="116">
        <v>105.23449921709577</v>
      </c>
      <c r="C814" s="116">
        <v>100.33745378893035</v>
      </c>
      <c r="D814" s="116">
        <v>94.006940410648866</v>
      </c>
      <c r="E814" s="116">
        <v>94.531158333283443</v>
      </c>
      <c r="F814" s="116">
        <v>92.215408571558996</v>
      </c>
    </row>
    <row r="815" spans="1:6" x14ac:dyDescent="0.25">
      <c r="A815" s="252">
        <f t="shared" si="12"/>
        <v>799</v>
      </c>
      <c r="B815" s="116">
        <v>101.70926029061182</v>
      </c>
      <c r="C815" s="116">
        <v>98.9320380437333</v>
      </c>
      <c r="D815" s="116">
        <v>95.307425607691627</v>
      </c>
      <c r="E815" s="116">
        <v>93.709600528015685</v>
      </c>
      <c r="F815" s="116">
        <v>91.775934554828865</v>
      </c>
    </row>
    <row r="816" spans="1:6" x14ac:dyDescent="0.25">
      <c r="A816" s="252">
        <f t="shared" si="12"/>
        <v>800</v>
      </c>
      <c r="B816" s="116">
        <v>101.90940232213524</v>
      </c>
      <c r="C816" s="116">
        <v>100.21319950081961</v>
      </c>
      <c r="D816" s="116">
        <v>98.609817809477335</v>
      </c>
      <c r="E816" s="116">
        <v>95.306172250340651</v>
      </c>
      <c r="F816" s="116">
        <v>93.309944010681519</v>
      </c>
    </row>
    <row r="817" spans="1:6" x14ac:dyDescent="0.25">
      <c r="A817" s="252">
        <f t="shared" si="12"/>
        <v>801</v>
      </c>
      <c r="B817" s="116">
        <v>102.86030848797091</v>
      </c>
      <c r="C817" s="116">
        <v>98.964990240228019</v>
      </c>
      <c r="D817" s="116">
        <v>96.737283985762033</v>
      </c>
      <c r="E817" s="116">
        <v>94.960815701473607</v>
      </c>
      <c r="F817" s="116">
        <v>94.707413888876005</v>
      </c>
    </row>
    <row r="818" spans="1:6" x14ac:dyDescent="0.25">
      <c r="A818" s="252">
        <f t="shared" si="12"/>
        <v>802</v>
      </c>
      <c r="B818" s="116">
        <v>103.69353661381433</v>
      </c>
      <c r="C818" s="116">
        <v>95.935837384431039</v>
      </c>
      <c r="D818" s="116">
        <v>95.910370827293221</v>
      </c>
      <c r="E818" s="116">
        <v>94.150439221691556</v>
      </c>
      <c r="F818" s="116">
        <v>92.946762525126204</v>
      </c>
    </row>
    <row r="819" spans="1:6" x14ac:dyDescent="0.25">
      <c r="A819" s="252">
        <f t="shared" si="12"/>
        <v>803</v>
      </c>
      <c r="B819" s="116">
        <v>102.53608853308769</v>
      </c>
      <c r="C819" s="116">
        <v>98.359787260893825</v>
      </c>
      <c r="D819" s="116">
        <v>98.82457496791217</v>
      </c>
      <c r="E819" s="116">
        <v>95.783658322504593</v>
      </c>
      <c r="F819" s="116">
        <v>93.20776083947743</v>
      </c>
    </row>
    <row r="820" spans="1:6" x14ac:dyDescent="0.25">
      <c r="A820" s="252">
        <f t="shared" si="12"/>
        <v>804</v>
      </c>
      <c r="B820" s="116">
        <v>104.59871887131493</v>
      </c>
      <c r="C820" s="116">
        <v>100.69067366283927</v>
      </c>
      <c r="D820" s="116">
        <v>96.764926696590734</v>
      </c>
      <c r="E820" s="116">
        <v>95.196251814564008</v>
      </c>
      <c r="F820" s="116">
        <v>93.299683924511854</v>
      </c>
    </row>
    <row r="821" spans="1:6" x14ac:dyDescent="0.25">
      <c r="A821" s="252">
        <f t="shared" si="12"/>
        <v>805</v>
      </c>
      <c r="B821" s="116">
        <v>104.39423466211996</v>
      </c>
      <c r="C821" s="116">
        <v>100.3698317887936</v>
      </c>
      <c r="D821" s="116">
        <v>92.53352564684721</v>
      </c>
      <c r="E821" s="116">
        <v>93.870661086517956</v>
      </c>
      <c r="F821" s="116">
        <v>91.425666573206527</v>
      </c>
    </row>
    <row r="822" spans="1:6" x14ac:dyDescent="0.25">
      <c r="A822" s="252">
        <f t="shared" si="12"/>
        <v>806</v>
      </c>
      <c r="B822" s="116">
        <v>102.9265421038162</v>
      </c>
      <c r="C822" s="116">
        <v>99.542000590204665</v>
      </c>
      <c r="D822" s="116">
        <v>95.598319792744419</v>
      </c>
      <c r="E822" s="116">
        <v>93.844963531690752</v>
      </c>
      <c r="F822" s="116">
        <v>93.314606132272431</v>
      </c>
    </row>
    <row r="823" spans="1:6" x14ac:dyDescent="0.25">
      <c r="A823" s="252">
        <f t="shared" si="12"/>
        <v>807</v>
      </c>
      <c r="B823" s="116">
        <v>103.6604406036423</v>
      </c>
      <c r="C823" s="116">
        <v>97.380304005083573</v>
      </c>
      <c r="D823" s="116">
        <v>96.968198527170387</v>
      </c>
      <c r="E823" s="116">
        <v>94.657108625409151</v>
      </c>
      <c r="F823" s="116">
        <v>93.78316702878233</v>
      </c>
    </row>
    <row r="824" spans="1:6" x14ac:dyDescent="0.25">
      <c r="A824" s="252">
        <f t="shared" si="12"/>
        <v>808</v>
      </c>
      <c r="B824" s="116">
        <v>104.07453519363042</v>
      </c>
      <c r="C824" s="116">
        <v>98.058478944719482</v>
      </c>
      <c r="D824" s="116">
        <v>98.942258328732777</v>
      </c>
      <c r="E824" s="116">
        <v>96.164881279627934</v>
      </c>
      <c r="F824" s="116">
        <v>92.214590376213707</v>
      </c>
    </row>
    <row r="825" spans="1:6" x14ac:dyDescent="0.25">
      <c r="A825" s="252">
        <f t="shared" si="12"/>
        <v>809</v>
      </c>
      <c r="B825" s="116">
        <v>102.05452578326346</v>
      </c>
      <c r="C825" s="116">
        <v>101.17758413424592</v>
      </c>
      <c r="D825" s="116">
        <v>99.082938575524139</v>
      </c>
      <c r="E825" s="116">
        <v>96.308312426861832</v>
      </c>
      <c r="F825" s="116">
        <v>91.316288359354317</v>
      </c>
    </row>
    <row r="826" spans="1:6" x14ac:dyDescent="0.25">
      <c r="A826" s="252">
        <f t="shared" si="12"/>
        <v>810</v>
      </c>
      <c r="B826" s="116">
        <v>105.76808192294132</v>
      </c>
      <c r="C826" s="116">
        <v>99.039215951238006</v>
      </c>
      <c r="D826" s="116">
        <v>97.168274201701863</v>
      </c>
      <c r="E826" s="116">
        <v>94.891732063541099</v>
      </c>
      <c r="F826" s="116">
        <v>92.535660868450378</v>
      </c>
    </row>
    <row r="827" spans="1:6" x14ac:dyDescent="0.25">
      <c r="A827" s="252">
        <f t="shared" si="12"/>
        <v>811</v>
      </c>
      <c r="B827" s="116">
        <v>100.84249011154202</v>
      </c>
      <c r="C827" s="116">
        <v>98.996989785304379</v>
      </c>
      <c r="D827" s="116">
        <v>94.54844128749366</v>
      </c>
      <c r="E827" s="116">
        <v>95.038491968061919</v>
      </c>
      <c r="F827" s="116">
        <v>93.363659589221257</v>
      </c>
    </row>
    <row r="828" spans="1:6" x14ac:dyDescent="0.25">
      <c r="A828" s="252">
        <f t="shared" si="12"/>
        <v>812</v>
      </c>
      <c r="B828" s="116">
        <v>103.89692731540261</v>
      </c>
      <c r="C828" s="116">
        <v>97.573178939112722</v>
      </c>
      <c r="D828" s="116">
        <v>97.8571333718467</v>
      </c>
      <c r="E828" s="116">
        <v>93.994135492390868</v>
      </c>
      <c r="F828" s="116">
        <v>93.881020778076376</v>
      </c>
    </row>
    <row r="829" spans="1:6" x14ac:dyDescent="0.25">
      <c r="A829" s="252">
        <f t="shared" si="12"/>
        <v>813</v>
      </c>
      <c r="B829" s="116">
        <v>99.820063250744965</v>
      </c>
      <c r="C829" s="116">
        <v>97.746604118597645</v>
      </c>
      <c r="D829" s="116">
        <v>97.674571609741363</v>
      </c>
      <c r="E829" s="116">
        <v>95.766792324670377</v>
      </c>
      <c r="F829" s="116">
        <v>91.118247074871789</v>
      </c>
    </row>
    <row r="830" spans="1:6" x14ac:dyDescent="0.25">
      <c r="A830" s="252">
        <f t="shared" si="12"/>
        <v>814</v>
      </c>
      <c r="B830" s="116">
        <v>100.10671706470876</v>
      </c>
      <c r="C830" s="116">
        <v>98.62773430554833</v>
      </c>
      <c r="D830" s="116">
        <v>96.934353514688766</v>
      </c>
      <c r="E830" s="116">
        <v>96.263534069278634</v>
      </c>
      <c r="F830" s="116">
        <v>93.661968822792588</v>
      </c>
    </row>
    <row r="831" spans="1:6" x14ac:dyDescent="0.25">
      <c r="A831" s="252">
        <f t="shared" si="12"/>
        <v>815</v>
      </c>
      <c r="B831" s="116">
        <v>100.41178015777145</v>
      </c>
      <c r="C831" s="116">
        <v>99.484099108078809</v>
      </c>
      <c r="D831" s="116">
        <v>94.46652475193045</v>
      </c>
      <c r="E831" s="116">
        <v>95.4452173111587</v>
      </c>
      <c r="F831" s="116">
        <v>93.206720584286387</v>
      </c>
    </row>
    <row r="832" spans="1:6" x14ac:dyDescent="0.25">
      <c r="A832" s="252">
        <f t="shared" si="12"/>
        <v>816</v>
      </c>
      <c r="B832" s="116">
        <v>99.973054943685739</v>
      </c>
      <c r="C832" s="116">
        <v>98.061800605008017</v>
      </c>
      <c r="D832" s="116">
        <v>97.350575094310372</v>
      </c>
      <c r="E832" s="116">
        <v>97.63510264689306</v>
      </c>
      <c r="F832" s="116">
        <v>92.388408313925936</v>
      </c>
    </row>
    <row r="833" spans="1:6" x14ac:dyDescent="0.25">
      <c r="A833" s="252">
        <f t="shared" si="12"/>
        <v>817</v>
      </c>
      <c r="B833" s="116">
        <v>101.55482220264058</v>
      </c>
      <c r="C833" s="116">
        <v>96.910874349021469</v>
      </c>
      <c r="D833" s="116">
        <v>98.050419525558411</v>
      </c>
      <c r="E833" s="116">
        <v>94.825342555848664</v>
      </c>
      <c r="F833" s="116">
        <v>92.154462767510125</v>
      </c>
    </row>
    <row r="834" spans="1:6" x14ac:dyDescent="0.25">
      <c r="A834" s="252">
        <f t="shared" si="12"/>
        <v>818</v>
      </c>
      <c r="B834" s="116">
        <v>100.39138538800957</v>
      </c>
      <c r="C834" s="116">
        <v>99.076550000057622</v>
      </c>
      <c r="D834" s="116">
        <v>95.408913721291356</v>
      </c>
      <c r="E834" s="116">
        <v>96.983599390785884</v>
      </c>
      <c r="F834" s="116">
        <v>91.994881271503388</v>
      </c>
    </row>
    <row r="835" spans="1:6" x14ac:dyDescent="0.25">
      <c r="A835" s="252">
        <f t="shared" si="12"/>
        <v>819</v>
      </c>
      <c r="B835" s="116">
        <v>100.66384878867653</v>
      </c>
      <c r="C835" s="116">
        <v>98.306349111548613</v>
      </c>
      <c r="D835" s="116">
        <v>98.442536708142413</v>
      </c>
      <c r="E835" s="116">
        <v>95.287060948565596</v>
      </c>
      <c r="F835" s="116">
        <v>93.339085484461449</v>
      </c>
    </row>
    <row r="836" spans="1:6" x14ac:dyDescent="0.25">
      <c r="A836" s="252">
        <f t="shared" si="12"/>
        <v>820</v>
      </c>
      <c r="B836" s="116">
        <v>101.88438771416219</v>
      </c>
      <c r="C836" s="116">
        <v>98.63795820339152</v>
      </c>
      <c r="D836" s="116">
        <v>97.421747023435401</v>
      </c>
      <c r="E836" s="116">
        <v>95.577440593444607</v>
      </c>
      <c r="F836" s="116">
        <v>92.269756656045899</v>
      </c>
    </row>
    <row r="837" spans="1:6" x14ac:dyDescent="0.25">
      <c r="A837" s="252">
        <f t="shared" si="12"/>
        <v>821</v>
      </c>
      <c r="B837" s="116">
        <v>107.21283531094602</v>
      </c>
      <c r="C837" s="116">
        <v>99.399396064815548</v>
      </c>
      <c r="D837" s="116">
        <v>99.679056428802397</v>
      </c>
      <c r="E837" s="116">
        <v>94.371096724322626</v>
      </c>
      <c r="F837" s="116">
        <v>94.026285858939758</v>
      </c>
    </row>
    <row r="838" spans="1:6" x14ac:dyDescent="0.25">
      <c r="A838" s="252">
        <f t="shared" si="12"/>
        <v>822</v>
      </c>
      <c r="B838" s="116">
        <v>97.948390338317196</v>
      </c>
      <c r="C838" s="116">
        <v>99.023558809901317</v>
      </c>
      <c r="D838" s="116">
        <v>95.506573086997761</v>
      </c>
      <c r="E838" s="116">
        <v>95.395956154094947</v>
      </c>
      <c r="F838" s="116">
        <v>93.458003472589425</v>
      </c>
    </row>
    <row r="839" spans="1:6" x14ac:dyDescent="0.25">
      <c r="A839" s="252">
        <f t="shared" si="12"/>
        <v>823</v>
      </c>
      <c r="B839" s="116">
        <v>100.13410149977527</v>
      </c>
      <c r="C839" s="116">
        <v>99.883580629956398</v>
      </c>
      <c r="D839" s="116">
        <v>97.630760788109924</v>
      </c>
      <c r="E839" s="116">
        <v>94.460107774415633</v>
      </c>
      <c r="F839" s="116">
        <v>92.743064458908052</v>
      </c>
    </row>
    <row r="840" spans="1:6" x14ac:dyDescent="0.25">
      <c r="A840" s="252">
        <f t="shared" si="12"/>
        <v>824</v>
      </c>
      <c r="B840" s="116">
        <v>104.08779620478627</v>
      </c>
      <c r="C840" s="116">
        <v>101.47381785227357</v>
      </c>
      <c r="D840" s="116">
        <v>94.357170921548885</v>
      </c>
      <c r="E840" s="116">
        <v>94.057264052409707</v>
      </c>
      <c r="F840" s="116">
        <v>93.710280736533818</v>
      </c>
    </row>
    <row r="841" spans="1:6" x14ac:dyDescent="0.25">
      <c r="A841" s="252">
        <f t="shared" si="12"/>
        <v>825</v>
      </c>
      <c r="B841" s="116">
        <v>101.86700223902717</v>
      </c>
      <c r="C841" s="116">
        <v>95.823926484385595</v>
      </c>
      <c r="D841" s="116">
        <v>97.691691125486756</v>
      </c>
      <c r="E841" s="116">
        <v>95.099781470533671</v>
      </c>
      <c r="F841" s="116">
        <v>92.955683034021163</v>
      </c>
    </row>
    <row r="842" spans="1:6" x14ac:dyDescent="0.25">
      <c r="A842" s="252">
        <f t="shared" si="12"/>
        <v>826</v>
      </c>
      <c r="B842" s="116">
        <v>102.02228335622308</v>
      </c>
      <c r="C842" s="116">
        <v>97.955757359557822</v>
      </c>
      <c r="D842" s="116">
        <v>100.30546492329269</v>
      </c>
      <c r="E842" s="116">
        <v>93.90936006804931</v>
      </c>
      <c r="F842" s="116">
        <v>93.197866198463061</v>
      </c>
    </row>
    <row r="843" spans="1:6" x14ac:dyDescent="0.25">
      <c r="A843" s="252">
        <f t="shared" si="12"/>
        <v>827</v>
      </c>
      <c r="B843" s="116">
        <v>102.93985087136981</v>
      </c>
      <c r="C843" s="116">
        <v>100.40107725279752</v>
      </c>
      <c r="D843" s="116">
        <v>97.518648014398252</v>
      </c>
      <c r="E843" s="116">
        <v>94.035014286727645</v>
      </c>
      <c r="F843" s="116">
        <v>92.508318645304001</v>
      </c>
    </row>
    <row r="844" spans="1:6" x14ac:dyDescent="0.25">
      <c r="A844" s="252">
        <f t="shared" si="12"/>
        <v>828</v>
      </c>
      <c r="B844" s="116">
        <v>101.39229039055411</v>
      </c>
      <c r="C844" s="116">
        <v>98.374990169894645</v>
      </c>
      <c r="D844" s="116">
        <v>96.142951871050002</v>
      </c>
      <c r="E844" s="116">
        <v>95.241999963497761</v>
      </c>
      <c r="F844" s="116">
        <v>94.474370706905475</v>
      </c>
    </row>
    <row r="845" spans="1:6" x14ac:dyDescent="0.25">
      <c r="A845" s="252">
        <f t="shared" si="12"/>
        <v>829</v>
      </c>
      <c r="B845" s="116">
        <v>101.91537434030839</v>
      </c>
      <c r="C845" s="116">
        <v>98.476256489242729</v>
      </c>
      <c r="D845" s="116">
        <v>95.286401603406475</v>
      </c>
      <c r="E845" s="116">
        <v>94.048082947165042</v>
      </c>
      <c r="F845" s="116">
        <v>91.038974348786923</v>
      </c>
    </row>
    <row r="846" spans="1:6" x14ac:dyDescent="0.25">
      <c r="A846" s="252">
        <f t="shared" si="12"/>
        <v>830</v>
      </c>
      <c r="B846" s="116">
        <v>105.23650891347546</v>
      </c>
      <c r="C846" s="116">
        <v>96.490993583274744</v>
      </c>
      <c r="D846" s="116">
        <v>101.3875277020633</v>
      </c>
      <c r="E846" s="116">
        <v>95.60660147154536</v>
      </c>
      <c r="F846" s="116">
        <v>90.945720873424222</v>
      </c>
    </row>
    <row r="847" spans="1:6" x14ac:dyDescent="0.25">
      <c r="A847" s="252">
        <f t="shared" si="12"/>
        <v>831</v>
      </c>
      <c r="B847" s="116">
        <v>101.08485106635327</v>
      </c>
      <c r="C847" s="116">
        <v>101.23991381370109</v>
      </c>
      <c r="D847" s="116">
        <v>98.393644547259953</v>
      </c>
      <c r="E847" s="116">
        <v>92.609008954876273</v>
      </c>
      <c r="F847" s="116">
        <v>94.046836412950867</v>
      </c>
    </row>
    <row r="848" spans="1:6" x14ac:dyDescent="0.25">
      <c r="A848" s="252">
        <f t="shared" si="12"/>
        <v>832</v>
      </c>
      <c r="B848" s="116">
        <v>101.96664203134463</v>
      </c>
      <c r="C848" s="116">
        <v>97.28779460412396</v>
      </c>
      <c r="D848" s="116">
        <v>95.43769959350702</v>
      </c>
      <c r="E848" s="116">
        <v>95.637099149037709</v>
      </c>
      <c r="F848" s="116">
        <v>93.022736034307584</v>
      </c>
    </row>
    <row r="849" spans="1:6" x14ac:dyDescent="0.25">
      <c r="A849" s="252">
        <f t="shared" si="12"/>
        <v>833</v>
      </c>
      <c r="B849" s="116">
        <v>100.27487150963539</v>
      </c>
      <c r="C849" s="116">
        <v>97.729233646745058</v>
      </c>
      <c r="D849" s="116">
        <v>95.265274234632273</v>
      </c>
      <c r="E849" s="116">
        <v>96.168862056843579</v>
      </c>
      <c r="F849" s="116">
        <v>93.56415247539374</v>
      </c>
    </row>
    <row r="850" spans="1:6" x14ac:dyDescent="0.25">
      <c r="A850" s="252">
        <f t="shared" si="12"/>
        <v>834</v>
      </c>
      <c r="B850" s="116">
        <v>102.94753901164722</v>
      </c>
      <c r="C850" s="116">
        <v>99.014333929710148</v>
      </c>
      <c r="D850" s="116">
        <v>98.030456975201275</v>
      </c>
      <c r="E850" s="116">
        <v>93.875951804363552</v>
      </c>
      <c r="F850" s="116">
        <v>91.354447449623194</v>
      </c>
    </row>
    <row r="851" spans="1:6" x14ac:dyDescent="0.25">
      <c r="A851" s="252">
        <f t="shared" ref="A851:A914" si="13">+A850+1</f>
        <v>835</v>
      </c>
      <c r="B851" s="116">
        <v>105.28171402116612</v>
      </c>
      <c r="C851" s="116">
        <v>98.195877357851359</v>
      </c>
      <c r="D851" s="116">
        <v>98.571570926244505</v>
      </c>
      <c r="E851" s="116">
        <v>94.73331447372928</v>
      </c>
      <c r="F851" s="116">
        <v>92.986706345982086</v>
      </c>
    </row>
    <row r="852" spans="1:6" x14ac:dyDescent="0.25">
      <c r="A852" s="252">
        <f t="shared" si="13"/>
        <v>836</v>
      </c>
      <c r="B852" s="116">
        <v>101.31709129677149</v>
      </c>
      <c r="C852" s="116">
        <v>100.44429403792191</v>
      </c>
      <c r="D852" s="116">
        <v>96.547953812008117</v>
      </c>
      <c r="E852" s="116">
        <v>94.328646719346835</v>
      </c>
      <c r="F852" s="116">
        <v>94.624707374345491</v>
      </c>
    </row>
    <row r="853" spans="1:6" x14ac:dyDescent="0.25">
      <c r="A853" s="252">
        <f t="shared" si="13"/>
        <v>837</v>
      </c>
      <c r="B853" s="116">
        <v>103.71543886510433</v>
      </c>
      <c r="C853" s="116">
        <v>98.394862766137891</v>
      </c>
      <c r="D853" s="116">
        <v>96.559947700988147</v>
      </c>
      <c r="E853" s="116">
        <v>96.570070101411787</v>
      </c>
      <c r="F853" s="116">
        <v>94.409482862202111</v>
      </c>
    </row>
    <row r="854" spans="1:6" x14ac:dyDescent="0.25">
      <c r="A854" s="252">
        <f t="shared" si="13"/>
        <v>838</v>
      </c>
      <c r="B854" s="116">
        <v>100.69077578591926</v>
      </c>
      <c r="C854" s="116">
        <v>98.437782207596939</v>
      </c>
      <c r="D854" s="116">
        <v>96.038901040801562</v>
      </c>
      <c r="E854" s="116">
        <v>95.698274806080235</v>
      </c>
      <c r="F854" s="116">
        <v>93.672299004219383</v>
      </c>
    </row>
    <row r="855" spans="1:6" x14ac:dyDescent="0.25">
      <c r="A855" s="252">
        <f t="shared" si="13"/>
        <v>839</v>
      </c>
      <c r="B855" s="116">
        <v>103.46403160516212</v>
      </c>
      <c r="C855" s="116">
        <v>101.22060236257981</v>
      </c>
      <c r="D855" s="116">
        <v>100.00821007952177</v>
      </c>
      <c r="E855" s="116">
        <v>94.216830859017847</v>
      </c>
      <c r="F855" s="116">
        <v>94.230256307604023</v>
      </c>
    </row>
    <row r="856" spans="1:6" x14ac:dyDescent="0.25">
      <c r="A856" s="252">
        <f t="shared" si="13"/>
        <v>840</v>
      </c>
      <c r="B856" s="116">
        <v>106.71904342752065</v>
      </c>
      <c r="C856" s="116">
        <v>98.651807275689592</v>
      </c>
      <c r="D856" s="116">
        <v>99.126840468627762</v>
      </c>
      <c r="E856" s="116">
        <v>95.499023633269047</v>
      </c>
      <c r="F856" s="116">
        <v>93.761191848910386</v>
      </c>
    </row>
    <row r="857" spans="1:6" x14ac:dyDescent="0.25">
      <c r="A857" s="252">
        <f t="shared" si="13"/>
        <v>841</v>
      </c>
      <c r="B857" s="116">
        <v>100.39599999313515</v>
      </c>
      <c r="C857" s="116">
        <v>97.352171310919786</v>
      </c>
      <c r="D857" s="116">
        <v>95.904095957406128</v>
      </c>
      <c r="E857" s="116">
        <v>95.195181963911352</v>
      </c>
      <c r="F857" s="116">
        <v>93.615289379083464</v>
      </c>
    </row>
    <row r="858" spans="1:6" x14ac:dyDescent="0.25">
      <c r="A858" s="252">
        <f t="shared" si="13"/>
        <v>842</v>
      </c>
      <c r="B858" s="116">
        <v>102.41722469988277</v>
      </c>
      <c r="C858" s="116">
        <v>100.95087484530737</v>
      </c>
      <c r="D858" s="116">
        <v>95.900172126059275</v>
      </c>
      <c r="E858" s="116">
        <v>96.657401871339957</v>
      </c>
      <c r="F858" s="116">
        <v>94.632866452094689</v>
      </c>
    </row>
    <row r="859" spans="1:6" x14ac:dyDescent="0.25">
      <c r="A859" s="252">
        <f t="shared" si="13"/>
        <v>843</v>
      </c>
      <c r="B859" s="116">
        <v>105.19427512187643</v>
      </c>
      <c r="C859" s="116">
        <v>98.224375700615681</v>
      </c>
      <c r="D859" s="116">
        <v>99.225174631671322</v>
      </c>
      <c r="E859" s="116">
        <v>94.614335382900251</v>
      </c>
      <c r="F859" s="116">
        <v>91.831735432902249</v>
      </c>
    </row>
    <row r="860" spans="1:6" x14ac:dyDescent="0.25">
      <c r="A860" s="252">
        <f t="shared" si="13"/>
        <v>844</v>
      </c>
      <c r="B860" s="116">
        <v>108.13241259834626</v>
      </c>
      <c r="C860" s="116">
        <v>94.922830901574685</v>
      </c>
      <c r="D860" s="116">
        <v>96.517990535724778</v>
      </c>
      <c r="E860" s="116">
        <v>94.856930577482558</v>
      </c>
      <c r="F860" s="116">
        <v>90.594883311987488</v>
      </c>
    </row>
    <row r="861" spans="1:6" x14ac:dyDescent="0.25">
      <c r="A861" s="252">
        <f t="shared" si="13"/>
        <v>845</v>
      </c>
      <c r="B861" s="116">
        <v>103.43888180979744</v>
      </c>
      <c r="C861" s="116">
        <v>97.480684483028</v>
      </c>
      <c r="D861" s="116">
        <v>97.439600861366458</v>
      </c>
      <c r="E861" s="116">
        <v>95.972861969775636</v>
      </c>
      <c r="F861" s="116">
        <v>93.084002414279936</v>
      </c>
    </row>
    <row r="862" spans="1:6" x14ac:dyDescent="0.25">
      <c r="A862" s="252">
        <f t="shared" si="13"/>
        <v>846</v>
      </c>
      <c r="B862" s="116">
        <v>102.19489545390429</v>
      </c>
      <c r="C862" s="116">
        <v>99.683693318921414</v>
      </c>
      <c r="D862" s="116">
        <v>96.498053206392157</v>
      </c>
      <c r="E862" s="116">
        <v>93.891136048865221</v>
      </c>
      <c r="F862" s="116">
        <v>94.038270837877775</v>
      </c>
    </row>
    <row r="863" spans="1:6" x14ac:dyDescent="0.25">
      <c r="A863" s="252">
        <f t="shared" si="13"/>
        <v>847</v>
      </c>
      <c r="B863" s="116">
        <v>103.03587750811832</v>
      </c>
      <c r="C863" s="116">
        <v>97.406047313481082</v>
      </c>
      <c r="D863" s="116">
        <v>97.037103778663791</v>
      </c>
      <c r="E863" s="116">
        <v>96.133333680061398</v>
      </c>
      <c r="F863" s="116">
        <v>93.863544814130478</v>
      </c>
    </row>
    <row r="864" spans="1:6" x14ac:dyDescent="0.25">
      <c r="A864" s="252">
        <f t="shared" si="13"/>
        <v>848</v>
      </c>
      <c r="B864" s="116">
        <v>100.41998881249725</v>
      </c>
      <c r="C864" s="116">
        <v>98.125334754153144</v>
      </c>
      <c r="D864" s="116">
        <v>100.7601638160599</v>
      </c>
      <c r="E864" s="116">
        <v>94.620233316118956</v>
      </c>
      <c r="F864" s="116">
        <v>92.495959716491896</v>
      </c>
    </row>
    <row r="865" spans="1:6" x14ac:dyDescent="0.25">
      <c r="A865" s="252">
        <f t="shared" si="13"/>
        <v>849</v>
      </c>
      <c r="B865" s="116">
        <v>103.99650776966027</v>
      </c>
      <c r="C865" s="116">
        <v>101.50237011521631</v>
      </c>
      <c r="D865" s="116">
        <v>96.647496353925362</v>
      </c>
      <c r="E865" s="116">
        <v>94.139172419011274</v>
      </c>
      <c r="F865" s="116">
        <v>94.340345849815563</v>
      </c>
    </row>
    <row r="866" spans="1:6" x14ac:dyDescent="0.25">
      <c r="A866" s="252">
        <f t="shared" si="13"/>
        <v>850</v>
      </c>
      <c r="B866" s="116">
        <v>102.76392162777289</v>
      </c>
      <c r="C866" s="116">
        <v>98.954411711022303</v>
      </c>
      <c r="D866" s="116">
        <v>96.905598442874961</v>
      </c>
      <c r="E866" s="116">
        <v>96.754978216327899</v>
      </c>
      <c r="F866" s="116">
        <v>93.271278901984914</v>
      </c>
    </row>
    <row r="867" spans="1:6" x14ac:dyDescent="0.25">
      <c r="A867" s="252">
        <f t="shared" si="13"/>
        <v>851</v>
      </c>
      <c r="B867" s="116">
        <v>102.27947030176317</v>
      </c>
      <c r="C867" s="116">
        <v>99.882645413030531</v>
      </c>
      <c r="D867" s="116">
        <v>98.854643146009508</v>
      </c>
      <c r="E867" s="116">
        <v>96.210108104816001</v>
      </c>
      <c r="F867" s="116">
        <v>92.4543202803101</v>
      </c>
    </row>
    <row r="868" spans="1:6" x14ac:dyDescent="0.25">
      <c r="A868" s="252">
        <f t="shared" si="13"/>
        <v>852</v>
      </c>
      <c r="B868" s="116">
        <v>100.45191999524801</v>
      </c>
      <c r="C868" s="116">
        <v>100.56848183051383</v>
      </c>
      <c r="D868" s="116">
        <v>96.87038640000624</v>
      </c>
      <c r="E868" s="116">
        <v>95.169697386214338</v>
      </c>
      <c r="F868" s="116">
        <v>92.22345066030465</v>
      </c>
    </row>
    <row r="869" spans="1:6" x14ac:dyDescent="0.25">
      <c r="A869" s="252">
        <f t="shared" si="13"/>
        <v>853</v>
      </c>
      <c r="B869" s="116">
        <v>101.11134410206475</v>
      </c>
      <c r="C869" s="116">
        <v>98.052991678674815</v>
      </c>
      <c r="D869" s="116">
        <v>95.147674368937345</v>
      </c>
      <c r="E869" s="116">
        <v>95.678213918522985</v>
      </c>
      <c r="F869" s="116">
        <v>94.512269151411687</v>
      </c>
    </row>
    <row r="870" spans="1:6" x14ac:dyDescent="0.25">
      <c r="A870" s="252">
        <f t="shared" si="13"/>
        <v>854</v>
      </c>
      <c r="B870" s="116">
        <v>95.256438380334515</v>
      </c>
      <c r="C870" s="116">
        <v>99.427032789220746</v>
      </c>
      <c r="D870" s="116">
        <v>95.272137298508426</v>
      </c>
      <c r="E870" s="116">
        <v>94.528320554271119</v>
      </c>
      <c r="F870" s="116">
        <v>93.894167239736248</v>
      </c>
    </row>
    <row r="871" spans="1:6" x14ac:dyDescent="0.25">
      <c r="A871" s="252">
        <f t="shared" si="13"/>
        <v>855</v>
      </c>
      <c r="B871" s="116">
        <v>106.51898603966112</v>
      </c>
      <c r="C871" s="116">
        <v>99.985668949322346</v>
      </c>
      <c r="D871" s="116">
        <v>96.571992220140842</v>
      </c>
      <c r="E871" s="116">
        <v>96.075841591464268</v>
      </c>
      <c r="F871" s="116">
        <v>93.190889189110734</v>
      </c>
    </row>
    <row r="872" spans="1:6" x14ac:dyDescent="0.25">
      <c r="A872" s="252">
        <f t="shared" si="13"/>
        <v>856</v>
      </c>
      <c r="B872" s="116">
        <v>98.328946638370823</v>
      </c>
      <c r="C872" s="116">
        <v>99.197760437840202</v>
      </c>
      <c r="D872" s="116">
        <v>98.356182297985271</v>
      </c>
      <c r="E872" s="116">
        <v>93.770127122932081</v>
      </c>
      <c r="F872" s="116">
        <v>92.638517795252667</v>
      </c>
    </row>
    <row r="873" spans="1:6" x14ac:dyDescent="0.25">
      <c r="A873" s="252">
        <f t="shared" si="13"/>
        <v>857</v>
      </c>
      <c r="B873" s="116">
        <v>99.209570076613971</v>
      </c>
      <c r="C873" s="116">
        <v>97.938122288619212</v>
      </c>
      <c r="D873" s="116">
        <v>97.84783566896516</v>
      </c>
      <c r="E873" s="116">
        <v>94.320610633199522</v>
      </c>
      <c r="F873" s="116">
        <v>94.210785971418417</v>
      </c>
    </row>
    <row r="874" spans="1:6" x14ac:dyDescent="0.25">
      <c r="A874" s="252">
        <f t="shared" si="13"/>
        <v>858</v>
      </c>
      <c r="B874" s="116">
        <v>105.58303903393316</v>
      </c>
      <c r="C874" s="116">
        <v>97.272232503139222</v>
      </c>
      <c r="D874" s="116">
        <v>99.030390745535428</v>
      </c>
      <c r="E874" s="116">
        <v>94.134335508765318</v>
      </c>
      <c r="F874" s="116">
        <v>91.077839073558437</v>
      </c>
    </row>
    <row r="875" spans="1:6" x14ac:dyDescent="0.25">
      <c r="A875" s="252">
        <f t="shared" si="13"/>
        <v>859</v>
      </c>
      <c r="B875" s="116">
        <v>102.21355644239307</v>
      </c>
      <c r="C875" s="116">
        <v>98.649984728718621</v>
      </c>
      <c r="D875" s="116">
        <v>96.684647415011909</v>
      </c>
      <c r="E875" s="116">
        <v>96.33606000361813</v>
      </c>
      <c r="F875" s="116">
        <v>94.320894639388769</v>
      </c>
    </row>
    <row r="876" spans="1:6" x14ac:dyDescent="0.25">
      <c r="A876" s="252">
        <f t="shared" si="13"/>
        <v>860</v>
      </c>
      <c r="B876" s="116">
        <v>102.4015652899202</v>
      </c>
      <c r="C876" s="116">
        <v>99.92880828178464</v>
      </c>
      <c r="D876" s="116">
        <v>97.341540329275304</v>
      </c>
      <c r="E876" s="116">
        <v>95.139780151476586</v>
      </c>
      <c r="F876" s="116">
        <v>93.786513454118278</v>
      </c>
    </row>
    <row r="877" spans="1:6" x14ac:dyDescent="0.25">
      <c r="A877" s="252">
        <f t="shared" si="13"/>
        <v>861</v>
      </c>
      <c r="B877" s="116">
        <v>101.98156953344262</v>
      </c>
      <c r="C877" s="116">
        <v>99.510219942837523</v>
      </c>
      <c r="D877" s="116">
        <v>96.58580675825344</v>
      </c>
      <c r="E877" s="116">
        <v>94.40463120638023</v>
      </c>
      <c r="F877" s="116">
        <v>92.756325323339979</v>
      </c>
    </row>
    <row r="878" spans="1:6" x14ac:dyDescent="0.25">
      <c r="A878" s="252">
        <f t="shared" si="13"/>
        <v>862</v>
      </c>
      <c r="B878" s="116">
        <v>98.754691720895934</v>
      </c>
      <c r="C878" s="116">
        <v>99.099148498192818</v>
      </c>
      <c r="D878" s="116">
        <v>96.636023193213418</v>
      </c>
      <c r="E878" s="116">
        <v>96.347587309120414</v>
      </c>
      <c r="F878" s="116">
        <v>94.16981398884225</v>
      </c>
    </row>
    <row r="879" spans="1:6" x14ac:dyDescent="0.25">
      <c r="A879" s="252">
        <f t="shared" si="13"/>
        <v>863</v>
      </c>
      <c r="B879" s="116">
        <v>102.93744286903188</v>
      </c>
      <c r="C879" s="116">
        <v>101.87783330166815</v>
      </c>
      <c r="D879" s="116">
        <v>97.569949421351666</v>
      </c>
      <c r="E879" s="116">
        <v>95.379439649837806</v>
      </c>
      <c r="F879" s="116">
        <v>93.31612114867265</v>
      </c>
    </row>
    <row r="880" spans="1:6" x14ac:dyDescent="0.25">
      <c r="A880" s="252">
        <f t="shared" si="13"/>
        <v>864</v>
      </c>
      <c r="B880" s="116">
        <v>102.50626320554899</v>
      </c>
      <c r="C880" s="116">
        <v>97.192892789388225</v>
      </c>
      <c r="D880" s="116">
        <v>98.769695734828659</v>
      </c>
      <c r="E880" s="116">
        <v>94.181417872728375</v>
      </c>
      <c r="F880" s="116">
        <v>91.087731652214671</v>
      </c>
    </row>
    <row r="881" spans="1:6" x14ac:dyDescent="0.25">
      <c r="A881" s="252">
        <f t="shared" si="13"/>
        <v>865</v>
      </c>
      <c r="B881" s="116">
        <v>102.54783785141204</v>
      </c>
      <c r="C881" s="116">
        <v>95.855301510308905</v>
      </c>
      <c r="D881" s="116">
        <v>95.099807257345731</v>
      </c>
      <c r="E881" s="116">
        <v>95.263058659833561</v>
      </c>
      <c r="F881" s="116">
        <v>93.969225760913247</v>
      </c>
    </row>
    <row r="882" spans="1:6" x14ac:dyDescent="0.25">
      <c r="A882" s="252">
        <f t="shared" si="13"/>
        <v>866</v>
      </c>
      <c r="B882" s="116">
        <v>101.86204182965646</v>
      </c>
      <c r="C882" s="116">
        <v>101.88872187300726</v>
      </c>
      <c r="D882" s="116">
        <v>97.236905254465128</v>
      </c>
      <c r="E882" s="116">
        <v>94.84959557613611</v>
      </c>
      <c r="F882" s="116">
        <v>94.984343971223879</v>
      </c>
    </row>
    <row r="883" spans="1:6" x14ac:dyDescent="0.25">
      <c r="A883" s="252">
        <f t="shared" si="13"/>
        <v>867</v>
      </c>
      <c r="B883" s="116">
        <v>101.69390057049618</v>
      </c>
      <c r="C883" s="116">
        <v>97.266238726576361</v>
      </c>
      <c r="D883" s="116">
        <v>95.415531073794611</v>
      </c>
      <c r="E883" s="116">
        <v>94.614464855457811</v>
      </c>
      <c r="F883" s="116">
        <v>92.700203061344268</v>
      </c>
    </row>
    <row r="884" spans="1:6" x14ac:dyDescent="0.25">
      <c r="A884" s="252">
        <f t="shared" si="13"/>
        <v>868</v>
      </c>
      <c r="B884" s="116">
        <v>101.65389197696159</v>
      </c>
      <c r="C884" s="116">
        <v>99.675853982147686</v>
      </c>
      <c r="D884" s="116">
        <v>97.750613653667074</v>
      </c>
      <c r="E884" s="116">
        <v>92.057422319361791</v>
      </c>
      <c r="F884" s="116">
        <v>91.887294571102004</v>
      </c>
    </row>
    <row r="885" spans="1:6" x14ac:dyDescent="0.25">
      <c r="A885" s="252">
        <f t="shared" si="13"/>
        <v>869</v>
      </c>
      <c r="B885" s="116">
        <v>100.73733605930326</v>
      </c>
      <c r="C885" s="116">
        <v>102.29701067569248</v>
      </c>
      <c r="D885" s="116">
        <v>98.374467294651836</v>
      </c>
      <c r="E885" s="116">
        <v>94.026485932991235</v>
      </c>
      <c r="F885" s="116">
        <v>93.619836924603348</v>
      </c>
    </row>
    <row r="886" spans="1:6" x14ac:dyDescent="0.25">
      <c r="A886" s="252">
        <f t="shared" si="13"/>
        <v>870</v>
      </c>
      <c r="B886" s="116">
        <v>103.97355297702069</v>
      </c>
      <c r="C886" s="116">
        <v>98.217509050261114</v>
      </c>
      <c r="D886" s="116">
        <v>96.735195804988251</v>
      </c>
      <c r="E886" s="116">
        <v>96.791791608357187</v>
      </c>
      <c r="F886" s="116">
        <v>92.964002997763771</v>
      </c>
    </row>
    <row r="887" spans="1:6" x14ac:dyDescent="0.25">
      <c r="A887" s="252">
        <f t="shared" si="13"/>
        <v>871</v>
      </c>
      <c r="B887" s="116">
        <v>103.64648932117612</v>
      </c>
      <c r="C887" s="116">
        <v>97.463393732544304</v>
      </c>
      <c r="D887" s="116">
        <v>93.607778491548927</v>
      </c>
      <c r="E887" s="116">
        <v>95.610621113958786</v>
      </c>
      <c r="F887" s="116">
        <v>90.845667040549657</v>
      </c>
    </row>
    <row r="888" spans="1:6" x14ac:dyDescent="0.25">
      <c r="A888" s="252">
        <f t="shared" si="13"/>
        <v>872</v>
      </c>
      <c r="B888" s="116">
        <v>104.96165184541029</v>
      </c>
      <c r="C888" s="116">
        <v>101.32465278255425</v>
      </c>
      <c r="D888" s="116">
        <v>97.580924597610789</v>
      </c>
      <c r="E888" s="116">
        <v>95.283842433984645</v>
      </c>
      <c r="F888" s="116">
        <v>93.206295814917709</v>
      </c>
    </row>
    <row r="889" spans="1:6" x14ac:dyDescent="0.25">
      <c r="A889" s="252">
        <f t="shared" si="13"/>
        <v>873</v>
      </c>
      <c r="B889" s="116">
        <v>101.29198622042423</v>
      </c>
      <c r="C889" s="116">
        <v>98.210681695548899</v>
      </c>
      <c r="D889" s="116">
        <v>95.851938560076064</v>
      </c>
      <c r="E889" s="116">
        <v>93.920640247017431</v>
      </c>
      <c r="F889" s="116">
        <v>92.833734924427461</v>
      </c>
    </row>
    <row r="890" spans="1:6" x14ac:dyDescent="0.25">
      <c r="A890" s="252">
        <f t="shared" si="13"/>
        <v>874</v>
      </c>
      <c r="B890" s="116">
        <v>104.13454653286074</v>
      </c>
      <c r="C890" s="116">
        <v>99.954720887508088</v>
      </c>
      <c r="D890" s="116">
        <v>99.191865833399063</v>
      </c>
      <c r="E890" s="116">
        <v>95.985743914910131</v>
      </c>
      <c r="F890" s="116">
        <v>94.004017095222252</v>
      </c>
    </row>
    <row r="891" spans="1:6" x14ac:dyDescent="0.25">
      <c r="A891" s="252">
        <f t="shared" si="13"/>
        <v>875</v>
      </c>
      <c r="B891" s="116">
        <v>99.025357749571299</v>
      </c>
      <c r="C891" s="116">
        <v>100.81277804984539</v>
      </c>
      <c r="D891" s="116">
        <v>97.580414589432934</v>
      </c>
      <c r="E891" s="116">
        <v>93.854823346504318</v>
      </c>
      <c r="F891" s="116">
        <v>93.339297219272893</v>
      </c>
    </row>
    <row r="892" spans="1:6" x14ac:dyDescent="0.25">
      <c r="A892" s="252">
        <f t="shared" si="13"/>
        <v>876</v>
      </c>
      <c r="B892" s="116">
        <v>100.64944068272496</v>
      </c>
      <c r="C892" s="116">
        <v>100.62182554510196</v>
      </c>
      <c r="D892" s="116">
        <v>95.757688799684274</v>
      </c>
      <c r="E892" s="116">
        <v>95.572361697006158</v>
      </c>
      <c r="F892" s="116">
        <v>92.156191688939217</v>
      </c>
    </row>
    <row r="893" spans="1:6" x14ac:dyDescent="0.25">
      <c r="A893" s="252">
        <f t="shared" si="13"/>
        <v>877</v>
      </c>
      <c r="B893" s="116">
        <v>101.95645236308511</v>
      </c>
      <c r="C893" s="116">
        <v>99.769422250546825</v>
      </c>
      <c r="D893" s="116">
        <v>96.560818691109176</v>
      </c>
      <c r="E893" s="116">
        <v>95.980477360525612</v>
      </c>
      <c r="F893" s="116">
        <v>91.786476009586067</v>
      </c>
    </row>
    <row r="894" spans="1:6" x14ac:dyDescent="0.25">
      <c r="A894" s="252">
        <f t="shared" si="13"/>
        <v>878</v>
      </c>
      <c r="B894" s="116">
        <v>101.9364072182684</v>
      </c>
      <c r="C894" s="116">
        <v>97.120162499743103</v>
      </c>
      <c r="D894" s="116">
        <v>98.222344046018819</v>
      </c>
      <c r="E894" s="116">
        <v>95.435124878072756</v>
      </c>
      <c r="F894" s="116">
        <v>91.431914174954315</v>
      </c>
    </row>
    <row r="895" spans="1:6" x14ac:dyDescent="0.25">
      <c r="A895" s="252">
        <f t="shared" si="13"/>
        <v>879</v>
      </c>
      <c r="B895" s="116">
        <v>104.22108212295541</v>
      </c>
      <c r="C895" s="116">
        <v>100.90261170982569</v>
      </c>
      <c r="D895" s="116">
        <v>98.646783423267138</v>
      </c>
      <c r="E895" s="116">
        <v>95.926040855314227</v>
      </c>
      <c r="F895" s="116">
        <v>93.615277913761972</v>
      </c>
    </row>
    <row r="896" spans="1:6" x14ac:dyDescent="0.25">
      <c r="A896" s="252">
        <f t="shared" si="13"/>
        <v>880</v>
      </c>
      <c r="B896" s="116">
        <v>107.32382959926787</v>
      </c>
      <c r="C896" s="116">
        <v>98.699427764935749</v>
      </c>
      <c r="D896" s="116">
        <v>97.394986105743556</v>
      </c>
      <c r="E896" s="116">
        <v>94.610643176762693</v>
      </c>
      <c r="F896" s="116">
        <v>93.286231906682062</v>
      </c>
    </row>
    <row r="897" spans="1:6" x14ac:dyDescent="0.25">
      <c r="A897" s="252">
        <f t="shared" si="13"/>
        <v>881</v>
      </c>
      <c r="B897" s="116">
        <v>98.72521632630189</v>
      </c>
      <c r="C897" s="116">
        <v>99.962867934509447</v>
      </c>
      <c r="D897" s="116">
        <v>96.959694211236553</v>
      </c>
      <c r="E897" s="116">
        <v>94.195262881004453</v>
      </c>
      <c r="F897" s="116">
        <v>94.981511377035332</v>
      </c>
    </row>
    <row r="898" spans="1:6" x14ac:dyDescent="0.25">
      <c r="A898" s="252">
        <f t="shared" si="13"/>
        <v>882</v>
      </c>
      <c r="B898" s="116">
        <v>103.16439003234414</v>
      </c>
      <c r="C898" s="116">
        <v>101.45509886436136</v>
      </c>
      <c r="D898" s="116">
        <v>95.435518841549111</v>
      </c>
      <c r="E898" s="116">
        <v>95.685861241894713</v>
      </c>
      <c r="F898" s="116">
        <v>92.890453530923779</v>
      </c>
    </row>
    <row r="899" spans="1:6" x14ac:dyDescent="0.25">
      <c r="A899" s="252">
        <f t="shared" si="13"/>
        <v>883</v>
      </c>
      <c r="B899" s="116">
        <v>103.32153169171424</v>
      </c>
      <c r="C899" s="116">
        <v>96.294992928881541</v>
      </c>
      <c r="D899" s="116">
        <v>97.722555907472753</v>
      </c>
      <c r="E899" s="116">
        <v>95.600322838737711</v>
      </c>
      <c r="F899" s="116">
        <v>92.282307621034619</v>
      </c>
    </row>
    <row r="900" spans="1:6" x14ac:dyDescent="0.25">
      <c r="A900" s="252">
        <f t="shared" si="13"/>
        <v>884</v>
      </c>
      <c r="B900" s="116">
        <v>100.29265063392597</v>
      </c>
      <c r="C900" s="116">
        <v>100.36318984162772</v>
      </c>
      <c r="D900" s="116">
        <v>96.793689686552867</v>
      </c>
      <c r="E900" s="116">
        <v>95.176887253895885</v>
      </c>
      <c r="F900" s="116">
        <v>92.31269787326579</v>
      </c>
    </row>
    <row r="901" spans="1:6" x14ac:dyDescent="0.25">
      <c r="A901" s="252">
        <f t="shared" si="13"/>
        <v>885</v>
      </c>
      <c r="B901" s="116">
        <v>101.92302760289982</v>
      </c>
      <c r="C901" s="116">
        <v>97.819892901337681</v>
      </c>
      <c r="D901" s="116">
        <v>96.703061457931966</v>
      </c>
      <c r="E901" s="116">
        <v>94.36585878921008</v>
      </c>
      <c r="F901" s="116">
        <v>92.879728119281424</v>
      </c>
    </row>
    <row r="902" spans="1:6" x14ac:dyDescent="0.25">
      <c r="A902" s="252">
        <f t="shared" si="13"/>
        <v>886</v>
      </c>
      <c r="B902" s="116">
        <v>99.994032007792754</v>
      </c>
      <c r="C902" s="116">
        <v>97.537615259282461</v>
      </c>
      <c r="D902" s="116">
        <v>98.640520248716911</v>
      </c>
      <c r="E902" s="116">
        <v>96.136692747171992</v>
      </c>
      <c r="F902" s="116">
        <v>95.279917720059331</v>
      </c>
    </row>
    <row r="903" spans="1:6" x14ac:dyDescent="0.25">
      <c r="A903" s="252">
        <f t="shared" si="13"/>
        <v>887</v>
      </c>
      <c r="B903" s="116">
        <v>97.890246723211476</v>
      </c>
      <c r="C903" s="116">
        <v>98.930794375828526</v>
      </c>
      <c r="D903" s="116">
        <v>98.117546386242424</v>
      </c>
      <c r="E903" s="116">
        <v>94.505424009023642</v>
      </c>
      <c r="F903" s="116">
        <v>93.663195158229385</v>
      </c>
    </row>
    <row r="904" spans="1:6" x14ac:dyDescent="0.25">
      <c r="A904" s="252">
        <f t="shared" si="13"/>
        <v>888</v>
      </c>
      <c r="B904" s="116">
        <v>102.32841366978512</v>
      </c>
      <c r="C904" s="116">
        <v>100.06645334324507</v>
      </c>
      <c r="D904" s="116">
        <v>97.477988718877583</v>
      </c>
      <c r="E904" s="116">
        <v>93.774541228295163</v>
      </c>
      <c r="F904" s="116">
        <v>93.555152520804356</v>
      </c>
    </row>
    <row r="905" spans="1:6" x14ac:dyDescent="0.25">
      <c r="A905" s="252">
        <f t="shared" si="13"/>
        <v>889</v>
      </c>
      <c r="B905" s="116">
        <v>102.90476054822379</v>
      </c>
      <c r="C905" s="116">
        <v>98.223196291186312</v>
      </c>
      <c r="D905" s="116">
        <v>93.448591553088377</v>
      </c>
      <c r="E905" s="116">
        <v>94.245907248390466</v>
      </c>
      <c r="F905" s="116">
        <v>91.549766107450253</v>
      </c>
    </row>
    <row r="906" spans="1:6" x14ac:dyDescent="0.25">
      <c r="A906" s="252">
        <f t="shared" si="13"/>
        <v>890</v>
      </c>
      <c r="B906" s="116">
        <v>102.33940827405448</v>
      </c>
      <c r="C906" s="116">
        <v>100.33495189523228</v>
      </c>
      <c r="D906" s="116">
        <v>98.947099460073602</v>
      </c>
      <c r="E906" s="116">
        <v>94.428128286941643</v>
      </c>
      <c r="F906" s="116">
        <v>93.72836084762784</v>
      </c>
    </row>
    <row r="907" spans="1:6" x14ac:dyDescent="0.25">
      <c r="A907" s="252">
        <f t="shared" si="13"/>
        <v>891</v>
      </c>
      <c r="B907" s="116">
        <v>102.17495191758262</v>
      </c>
      <c r="C907" s="116">
        <v>99.698565160660948</v>
      </c>
      <c r="D907" s="116">
        <v>96.160672301460693</v>
      </c>
      <c r="E907" s="116">
        <v>95.590049963824896</v>
      </c>
      <c r="F907" s="116">
        <v>92.813845675574115</v>
      </c>
    </row>
    <row r="908" spans="1:6" x14ac:dyDescent="0.25">
      <c r="A908" s="252">
        <f t="shared" si="13"/>
        <v>892</v>
      </c>
      <c r="B908" s="116">
        <v>106.12380121275102</v>
      </c>
      <c r="C908" s="116">
        <v>97.795366333275197</v>
      </c>
      <c r="D908" s="116">
        <v>98.36461933490223</v>
      </c>
      <c r="E908" s="116">
        <v>96.289386173754849</v>
      </c>
      <c r="F908" s="116">
        <v>94.489975451086082</v>
      </c>
    </row>
    <row r="909" spans="1:6" x14ac:dyDescent="0.25">
      <c r="A909" s="252">
        <f t="shared" si="13"/>
        <v>893</v>
      </c>
      <c r="B909" s="116">
        <v>100.51762819994291</v>
      </c>
      <c r="C909" s="116">
        <v>99.612780852184301</v>
      </c>
      <c r="D909" s="116">
        <v>93.951114159388609</v>
      </c>
      <c r="E909" s="116">
        <v>96.664863917117685</v>
      </c>
      <c r="F909" s="116">
        <v>93.328701188544557</v>
      </c>
    </row>
    <row r="910" spans="1:6" x14ac:dyDescent="0.25">
      <c r="A910" s="252">
        <f t="shared" si="13"/>
        <v>894</v>
      </c>
      <c r="B910" s="116">
        <v>105.478355685818</v>
      </c>
      <c r="C910" s="116">
        <v>101.89029452294444</v>
      </c>
      <c r="D910" s="116">
        <v>95.480745495156739</v>
      </c>
      <c r="E910" s="116">
        <v>94.178983204403337</v>
      </c>
      <c r="F910" s="116">
        <v>92.023121296553668</v>
      </c>
    </row>
    <row r="911" spans="1:6" x14ac:dyDescent="0.25">
      <c r="A911" s="252">
        <f t="shared" si="13"/>
        <v>895</v>
      </c>
      <c r="B911" s="116">
        <v>101.69006305621811</v>
      </c>
      <c r="C911" s="116">
        <v>97.714237103676766</v>
      </c>
      <c r="D911" s="116">
        <v>96.610964837159372</v>
      </c>
      <c r="E911" s="116">
        <v>95.360510980810233</v>
      </c>
      <c r="F911" s="116">
        <v>93.10845721466444</v>
      </c>
    </row>
    <row r="912" spans="1:6" x14ac:dyDescent="0.25">
      <c r="A912" s="252">
        <f t="shared" si="13"/>
        <v>896</v>
      </c>
      <c r="B912" s="116">
        <v>101.02633278714987</v>
      </c>
      <c r="C912" s="116">
        <v>98.015142135657683</v>
      </c>
      <c r="D912" s="116">
        <v>97.52233134143863</v>
      </c>
      <c r="E912" s="116">
        <v>94.872779115312767</v>
      </c>
      <c r="F912" s="116">
        <v>93.283822639664905</v>
      </c>
    </row>
    <row r="913" spans="1:6" x14ac:dyDescent="0.25">
      <c r="A913" s="252">
        <f t="shared" si="13"/>
        <v>897</v>
      </c>
      <c r="B913" s="116">
        <v>104.15393297058556</v>
      </c>
      <c r="C913" s="116">
        <v>98.978776851377575</v>
      </c>
      <c r="D913" s="116">
        <v>99.108242567353045</v>
      </c>
      <c r="E913" s="116">
        <v>96.251830566787746</v>
      </c>
      <c r="F913" s="116">
        <v>91.92697126272175</v>
      </c>
    </row>
    <row r="914" spans="1:6" x14ac:dyDescent="0.25">
      <c r="A914" s="252">
        <f t="shared" si="13"/>
        <v>898</v>
      </c>
      <c r="B914" s="116">
        <v>100.7922746674604</v>
      </c>
      <c r="C914" s="116">
        <v>98.180585559556178</v>
      </c>
      <c r="D914" s="116">
        <v>97.029117025593848</v>
      </c>
      <c r="E914" s="116">
        <v>92.149668211325661</v>
      </c>
      <c r="F914" s="116">
        <v>93.090135940803194</v>
      </c>
    </row>
    <row r="915" spans="1:6" x14ac:dyDescent="0.25">
      <c r="A915" s="252">
        <f t="shared" ref="A915:A978" si="14">+A914+1</f>
        <v>899</v>
      </c>
      <c r="B915" s="116">
        <v>103.38705397807323</v>
      </c>
      <c r="C915" s="116">
        <v>97.074118080042979</v>
      </c>
      <c r="D915" s="116">
        <v>97.381192912143632</v>
      </c>
      <c r="E915" s="116">
        <v>94.317757970454096</v>
      </c>
      <c r="F915" s="116">
        <v>93.528411017031672</v>
      </c>
    </row>
    <row r="916" spans="1:6" x14ac:dyDescent="0.25">
      <c r="A916" s="252">
        <f t="shared" si="14"/>
        <v>900</v>
      </c>
      <c r="B916" s="116">
        <v>102.19140142549543</v>
      </c>
      <c r="C916" s="116">
        <v>100.86763933390135</v>
      </c>
      <c r="D916" s="116">
        <v>97.678904204468267</v>
      </c>
      <c r="E916" s="116">
        <v>95.726284836003387</v>
      </c>
      <c r="F916" s="116">
        <v>91.521026372891612</v>
      </c>
    </row>
    <row r="917" spans="1:6" x14ac:dyDescent="0.25">
      <c r="A917" s="252">
        <f t="shared" si="14"/>
        <v>901</v>
      </c>
      <c r="B917" s="116">
        <v>98.255024016630173</v>
      </c>
      <c r="C917" s="116">
        <v>98.113156304259988</v>
      </c>
      <c r="D917" s="116">
        <v>94.249711728078807</v>
      </c>
      <c r="E917" s="116">
        <v>95.039696623447341</v>
      </c>
      <c r="F917" s="116">
        <v>92.163805129495927</v>
      </c>
    </row>
    <row r="918" spans="1:6" x14ac:dyDescent="0.25">
      <c r="A918" s="252">
        <f t="shared" si="14"/>
        <v>902</v>
      </c>
      <c r="B918" s="116">
        <v>101.99182006020732</v>
      </c>
      <c r="C918" s="116">
        <v>98.92691293667491</v>
      </c>
      <c r="D918" s="116">
        <v>96.453992649456936</v>
      </c>
      <c r="E918" s="116">
        <v>94.990409798497893</v>
      </c>
      <c r="F918" s="116">
        <v>90.68156864882971</v>
      </c>
    </row>
    <row r="919" spans="1:6" x14ac:dyDescent="0.25">
      <c r="A919" s="252">
        <f t="shared" si="14"/>
        <v>903</v>
      </c>
      <c r="B919" s="116">
        <v>100.22026088688028</v>
      </c>
      <c r="C919" s="116">
        <v>100.66572410499505</v>
      </c>
      <c r="D919" s="116">
        <v>100.19048812562738</v>
      </c>
      <c r="E919" s="116">
        <v>96.086791485955686</v>
      </c>
      <c r="F919" s="116">
        <v>93.700378636949196</v>
      </c>
    </row>
    <row r="920" spans="1:6" x14ac:dyDescent="0.25">
      <c r="A920" s="252">
        <f t="shared" si="14"/>
        <v>904</v>
      </c>
      <c r="B920" s="116">
        <v>102.64185430179872</v>
      </c>
      <c r="C920" s="116">
        <v>98.924325575850773</v>
      </c>
      <c r="D920" s="116">
        <v>96.149577369857553</v>
      </c>
      <c r="E920" s="116">
        <v>94.575573452163766</v>
      </c>
      <c r="F920" s="116">
        <v>93.87180369962563</v>
      </c>
    </row>
    <row r="921" spans="1:6" x14ac:dyDescent="0.25">
      <c r="A921" s="252">
        <f t="shared" si="14"/>
        <v>905</v>
      </c>
      <c r="B921" s="116">
        <v>105.83082093151748</v>
      </c>
      <c r="C921" s="116">
        <v>98.172886220554631</v>
      </c>
      <c r="D921" s="116">
        <v>96.335934909828865</v>
      </c>
      <c r="E921" s="116">
        <v>95.380887667287311</v>
      </c>
      <c r="F921" s="116">
        <v>90.632869636962369</v>
      </c>
    </row>
    <row r="922" spans="1:6" x14ac:dyDescent="0.25">
      <c r="A922" s="252">
        <f t="shared" si="14"/>
        <v>906</v>
      </c>
      <c r="B922" s="116">
        <v>102.02096323237163</v>
      </c>
      <c r="C922" s="116">
        <v>98.759075592561345</v>
      </c>
      <c r="D922" s="116">
        <v>100.2570965657869</v>
      </c>
      <c r="E922" s="116">
        <v>95.335339238396344</v>
      </c>
      <c r="F922" s="116">
        <v>92.97383680684635</v>
      </c>
    </row>
    <row r="923" spans="1:6" x14ac:dyDescent="0.25">
      <c r="A923" s="252">
        <f t="shared" si="14"/>
        <v>907</v>
      </c>
      <c r="B923" s="116">
        <v>100.44613496338755</v>
      </c>
      <c r="C923" s="116">
        <v>101.03423817844372</v>
      </c>
      <c r="D923" s="116">
        <v>97.950364887271462</v>
      </c>
      <c r="E923" s="116">
        <v>96.159019795083253</v>
      </c>
      <c r="F923" s="116">
        <v>93.447646336701311</v>
      </c>
    </row>
    <row r="924" spans="1:6" x14ac:dyDescent="0.25">
      <c r="A924" s="252">
        <f t="shared" si="14"/>
        <v>908</v>
      </c>
      <c r="B924" s="116">
        <v>98.732455328679492</v>
      </c>
      <c r="C924" s="116">
        <v>99.665502600277705</v>
      </c>
      <c r="D924" s="116">
        <v>97.806387366748439</v>
      </c>
      <c r="E924" s="116">
        <v>93.506142820402331</v>
      </c>
      <c r="F924" s="116">
        <v>93.331811051858381</v>
      </c>
    </row>
    <row r="925" spans="1:6" x14ac:dyDescent="0.25">
      <c r="A925" s="252">
        <f t="shared" si="14"/>
        <v>909</v>
      </c>
      <c r="B925" s="116">
        <v>99.327929987736042</v>
      </c>
      <c r="C925" s="116">
        <v>97.20629596637049</v>
      </c>
      <c r="D925" s="116">
        <v>96.468506011179869</v>
      </c>
      <c r="E925" s="116">
        <v>92.860892335891378</v>
      </c>
      <c r="F925" s="116">
        <v>94.314350657969285</v>
      </c>
    </row>
    <row r="926" spans="1:6" x14ac:dyDescent="0.25">
      <c r="A926" s="252">
        <f t="shared" si="14"/>
        <v>910</v>
      </c>
      <c r="B926" s="116">
        <v>97.900438801020613</v>
      </c>
      <c r="C926" s="116">
        <v>99.337069018891256</v>
      </c>
      <c r="D926" s="116">
        <v>96.4841741445873</v>
      </c>
      <c r="E926" s="116">
        <v>96.040133436023538</v>
      </c>
      <c r="F926" s="116">
        <v>91.202667329462727</v>
      </c>
    </row>
    <row r="927" spans="1:6" x14ac:dyDescent="0.25">
      <c r="A927" s="252">
        <f t="shared" si="14"/>
        <v>911</v>
      </c>
      <c r="B927" s="116">
        <v>102.89056906551258</v>
      </c>
      <c r="C927" s="116">
        <v>101.42809244523525</v>
      </c>
      <c r="D927" s="116">
        <v>97.657762128777236</v>
      </c>
      <c r="E927" s="116">
        <v>95.615553951158532</v>
      </c>
      <c r="F927" s="116">
        <v>92.100238365702964</v>
      </c>
    </row>
    <row r="928" spans="1:6" x14ac:dyDescent="0.25">
      <c r="A928" s="252">
        <f t="shared" si="14"/>
        <v>912</v>
      </c>
      <c r="B928" s="116">
        <v>102.79772171524172</v>
      </c>
      <c r="C928" s="116">
        <v>98.399431749382344</v>
      </c>
      <c r="D928" s="116">
        <v>96.410367430365753</v>
      </c>
      <c r="E928" s="116">
        <v>94.952978741149607</v>
      </c>
      <c r="F928" s="116">
        <v>91.790218843683647</v>
      </c>
    </row>
    <row r="929" spans="1:6" x14ac:dyDescent="0.25">
      <c r="A929" s="252">
        <f t="shared" si="14"/>
        <v>913</v>
      </c>
      <c r="B929" s="116">
        <v>100.44546150468672</v>
      </c>
      <c r="C929" s="116">
        <v>101.45054243030265</v>
      </c>
      <c r="D929" s="116">
        <v>97.446470054880848</v>
      </c>
      <c r="E929" s="116">
        <v>93.757277613968242</v>
      </c>
      <c r="F929" s="116">
        <v>91.522580640646723</v>
      </c>
    </row>
    <row r="930" spans="1:6" x14ac:dyDescent="0.25">
      <c r="A930" s="252">
        <f t="shared" si="14"/>
        <v>914</v>
      </c>
      <c r="B930" s="116">
        <v>103.09028426964295</v>
      </c>
      <c r="C930" s="116">
        <v>100.45920035462558</v>
      </c>
      <c r="D930" s="116">
        <v>98.994400671485792</v>
      </c>
      <c r="E930" s="116">
        <v>94.400373010276894</v>
      </c>
      <c r="F930" s="116">
        <v>93.669949202937246</v>
      </c>
    </row>
    <row r="931" spans="1:6" x14ac:dyDescent="0.25">
      <c r="A931" s="252">
        <f t="shared" si="14"/>
        <v>915</v>
      </c>
      <c r="B931" s="116">
        <v>102.07708100862023</v>
      </c>
      <c r="C931" s="116">
        <v>98.240300563985627</v>
      </c>
      <c r="D931" s="116">
        <v>97.593011836616768</v>
      </c>
      <c r="E931" s="116">
        <v>95.934020704218355</v>
      </c>
      <c r="F931" s="116">
        <v>92.514091815761958</v>
      </c>
    </row>
    <row r="932" spans="1:6" x14ac:dyDescent="0.25">
      <c r="A932" s="252">
        <f t="shared" si="14"/>
        <v>916</v>
      </c>
      <c r="B932" s="116">
        <v>104.30425288569312</v>
      </c>
      <c r="C932" s="116">
        <v>99.339318351006284</v>
      </c>
      <c r="D932" s="116">
        <v>97.483020481650101</v>
      </c>
      <c r="E932" s="116">
        <v>94.044656546475025</v>
      </c>
      <c r="F932" s="116">
        <v>92.17645148129057</v>
      </c>
    </row>
    <row r="933" spans="1:6" x14ac:dyDescent="0.25">
      <c r="A933" s="252">
        <f t="shared" si="14"/>
        <v>917</v>
      </c>
      <c r="B933" s="116">
        <v>100.36557247666879</v>
      </c>
      <c r="C933" s="116">
        <v>97.501845633426825</v>
      </c>
      <c r="D933" s="116">
        <v>98.638927261302399</v>
      </c>
      <c r="E933" s="116">
        <v>92.872604931390711</v>
      </c>
      <c r="F933" s="116">
        <v>91.653559851533188</v>
      </c>
    </row>
    <row r="934" spans="1:6" x14ac:dyDescent="0.25">
      <c r="A934" s="252">
        <f t="shared" si="14"/>
        <v>918</v>
      </c>
      <c r="B934" s="116">
        <v>102.07378200745299</v>
      </c>
      <c r="C934" s="116">
        <v>97.420876812105263</v>
      </c>
      <c r="D934" s="116">
        <v>98.423945671631046</v>
      </c>
      <c r="E934" s="116">
        <v>96.618074028899002</v>
      </c>
      <c r="F934" s="116">
        <v>92.813603296616392</v>
      </c>
    </row>
    <row r="935" spans="1:6" x14ac:dyDescent="0.25">
      <c r="A935" s="252">
        <f t="shared" si="14"/>
        <v>919</v>
      </c>
      <c r="B935" s="116">
        <v>100.42444852375732</v>
      </c>
      <c r="C935" s="116">
        <v>99.471690574069996</v>
      </c>
      <c r="D935" s="116">
        <v>97.253430110775028</v>
      </c>
      <c r="E935" s="116">
        <v>94.510084132873843</v>
      </c>
      <c r="F935" s="116">
        <v>93.499314836616222</v>
      </c>
    </row>
    <row r="936" spans="1:6" x14ac:dyDescent="0.25">
      <c r="A936" s="252">
        <f t="shared" si="14"/>
        <v>920</v>
      </c>
      <c r="B936" s="116">
        <v>105.57984008573864</v>
      </c>
      <c r="C936" s="116">
        <v>97.809901388375422</v>
      </c>
      <c r="D936" s="116">
        <v>97.108217841849125</v>
      </c>
      <c r="E936" s="116">
        <v>94.363345366050709</v>
      </c>
      <c r="F936" s="116">
        <v>92.709026260171584</v>
      </c>
    </row>
    <row r="937" spans="1:6" x14ac:dyDescent="0.25">
      <c r="A937" s="252">
        <f t="shared" si="14"/>
        <v>921</v>
      </c>
      <c r="B937" s="116">
        <v>97.939318552209514</v>
      </c>
      <c r="C937" s="116">
        <v>96.908512417128563</v>
      </c>
      <c r="D937" s="116">
        <v>98.284294190742031</v>
      </c>
      <c r="E937" s="116">
        <v>95.287855452140121</v>
      </c>
      <c r="F937" s="116">
        <v>95.629674532510222</v>
      </c>
    </row>
    <row r="938" spans="1:6" x14ac:dyDescent="0.25">
      <c r="A938" s="252">
        <f t="shared" si="14"/>
        <v>922</v>
      </c>
      <c r="B938" s="116">
        <v>99.378635525580364</v>
      </c>
      <c r="C938" s="116">
        <v>98.78995782507883</v>
      </c>
      <c r="D938" s="116">
        <v>95.68573065238779</v>
      </c>
      <c r="E938" s="116">
        <v>95.480985402894277</v>
      </c>
      <c r="F938" s="116">
        <v>92.384881322016767</v>
      </c>
    </row>
    <row r="939" spans="1:6" x14ac:dyDescent="0.25">
      <c r="A939" s="252">
        <f t="shared" si="14"/>
        <v>923</v>
      </c>
      <c r="B939" s="116">
        <v>104.83604771476952</v>
      </c>
      <c r="C939" s="116">
        <v>98.452815823703389</v>
      </c>
      <c r="D939" s="116">
        <v>96.244488945433204</v>
      </c>
      <c r="E939" s="116">
        <v>95.595771130683346</v>
      </c>
      <c r="F939" s="116">
        <v>93.343408847199129</v>
      </c>
    </row>
    <row r="940" spans="1:6" x14ac:dyDescent="0.25">
      <c r="A940" s="252">
        <f t="shared" si="14"/>
        <v>924</v>
      </c>
      <c r="B940" s="116">
        <v>102.67801926102881</v>
      </c>
      <c r="C940" s="116">
        <v>100.00905949892997</v>
      </c>
      <c r="D940" s="116">
        <v>98.870029419582892</v>
      </c>
      <c r="E940" s="116">
        <v>92.809981883117999</v>
      </c>
      <c r="F940" s="116">
        <v>93.850288772832613</v>
      </c>
    </row>
    <row r="941" spans="1:6" x14ac:dyDescent="0.25">
      <c r="A941" s="252">
        <f t="shared" si="14"/>
        <v>925</v>
      </c>
      <c r="B941" s="116">
        <v>104.02734691104841</v>
      </c>
      <c r="C941" s="116">
        <v>99.284949006195731</v>
      </c>
      <c r="D941" s="116">
        <v>97.444375533323381</v>
      </c>
      <c r="E941" s="116">
        <v>96.704227931910964</v>
      </c>
      <c r="F941" s="116">
        <v>93.692313908592951</v>
      </c>
    </row>
    <row r="942" spans="1:6" x14ac:dyDescent="0.25">
      <c r="A942" s="252">
        <f t="shared" si="14"/>
        <v>926</v>
      </c>
      <c r="B942" s="116">
        <v>98.830536782664467</v>
      </c>
      <c r="C942" s="116">
        <v>98.954945543472832</v>
      </c>
      <c r="D942" s="116">
        <v>97.035522932698271</v>
      </c>
      <c r="E942" s="116">
        <v>93.409025019760847</v>
      </c>
      <c r="F942" s="116">
        <v>92.550158383994656</v>
      </c>
    </row>
    <row r="943" spans="1:6" x14ac:dyDescent="0.25">
      <c r="A943" s="252">
        <f t="shared" si="14"/>
        <v>927</v>
      </c>
      <c r="B943" s="116">
        <v>105.53293597434866</v>
      </c>
      <c r="C943" s="116">
        <v>96.56580215685014</v>
      </c>
      <c r="D943" s="116">
        <v>96.791174372443351</v>
      </c>
      <c r="E943" s="116">
        <v>94.21757973992419</v>
      </c>
      <c r="F943" s="116">
        <v>92.965768613772525</v>
      </c>
    </row>
    <row r="944" spans="1:6" x14ac:dyDescent="0.25">
      <c r="A944" s="252">
        <f t="shared" si="14"/>
        <v>928</v>
      </c>
      <c r="B944" s="116">
        <v>103.63033891930793</v>
      </c>
      <c r="C944" s="116">
        <v>99.665976463166771</v>
      </c>
      <c r="D944" s="116">
        <v>98.750929036491399</v>
      </c>
      <c r="E944" s="116">
        <v>93.810027678582017</v>
      </c>
      <c r="F944" s="116">
        <v>93.284056769416893</v>
      </c>
    </row>
    <row r="945" spans="1:6" x14ac:dyDescent="0.25">
      <c r="A945" s="252">
        <f t="shared" si="14"/>
        <v>929</v>
      </c>
      <c r="B945" s="116">
        <v>100.80680874475958</v>
      </c>
      <c r="C945" s="116">
        <v>97.289108154922332</v>
      </c>
      <c r="D945" s="116">
        <v>98.35681546541818</v>
      </c>
      <c r="E945" s="116">
        <v>97.298543734899326</v>
      </c>
      <c r="F945" s="116">
        <v>93.397925079722953</v>
      </c>
    </row>
    <row r="946" spans="1:6" x14ac:dyDescent="0.25">
      <c r="A946" s="252">
        <f t="shared" si="14"/>
        <v>930</v>
      </c>
      <c r="B946" s="116">
        <v>100.62521319118871</v>
      </c>
      <c r="C946" s="116">
        <v>99.139231838999692</v>
      </c>
      <c r="D946" s="116">
        <v>95.959876414909232</v>
      </c>
      <c r="E946" s="116">
        <v>92.845326922313632</v>
      </c>
      <c r="F946" s="116">
        <v>91.7394411427573</v>
      </c>
    </row>
    <row r="947" spans="1:6" x14ac:dyDescent="0.25">
      <c r="A947" s="252">
        <f t="shared" si="14"/>
        <v>931</v>
      </c>
      <c r="B947" s="116">
        <v>105.20374088373146</v>
      </c>
      <c r="C947" s="116">
        <v>100.64748077431031</v>
      </c>
      <c r="D947" s="116">
        <v>97.374659582444721</v>
      </c>
      <c r="E947" s="116">
        <v>95.419302224845225</v>
      </c>
      <c r="F947" s="116">
        <v>92.931989346381272</v>
      </c>
    </row>
    <row r="948" spans="1:6" x14ac:dyDescent="0.25">
      <c r="A948" s="252">
        <f t="shared" si="14"/>
        <v>932</v>
      </c>
      <c r="B948" s="116">
        <v>102.8984860866185</v>
      </c>
      <c r="C948" s="116">
        <v>102.31831682693218</v>
      </c>
      <c r="D948" s="116">
        <v>97.96685850841456</v>
      </c>
      <c r="E948" s="116">
        <v>95.634773706003443</v>
      </c>
      <c r="F948" s="116">
        <v>91.24622510228275</v>
      </c>
    </row>
    <row r="949" spans="1:6" x14ac:dyDescent="0.25">
      <c r="A949" s="252">
        <f t="shared" si="14"/>
        <v>933</v>
      </c>
      <c r="B949" s="116">
        <v>104.33538268152424</v>
      </c>
      <c r="C949" s="116">
        <v>98.13688312009586</v>
      </c>
      <c r="D949" s="116">
        <v>96.723322056044125</v>
      </c>
      <c r="E949" s="116">
        <v>94.891437901240351</v>
      </c>
      <c r="F949" s="116">
        <v>94.114498297277976</v>
      </c>
    </row>
    <row r="950" spans="1:6" x14ac:dyDescent="0.25">
      <c r="A950" s="252">
        <f t="shared" si="14"/>
        <v>934</v>
      </c>
      <c r="B950" s="116">
        <v>102.82985117590998</v>
      </c>
      <c r="C950" s="116">
        <v>99.404158848701371</v>
      </c>
      <c r="D950" s="116">
        <v>96.053198116635329</v>
      </c>
      <c r="E950" s="116">
        <v>93.027064941018637</v>
      </c>
      <c r="F950" s="116">
        <v>93.245316511038354</v>
      </c>
    </row>
    <row r="951" spans="1:6" x14ac:dyDescent="0.25">
      <c r="A951" s="252">
        <f t="shared" si="14"/>
        <v>935</v>
      </c>
      <c r="B951" s="116">
        <v>99.745424610909112</v>
      </c>
      <c r="C951" s="116">
        <v>97.995812971414097</v>
      </c>
      <c r="D951" s="116">
        <v>97.364440589821967</v>
      </c>
      <c r="E951" s="116">
        <v>96.31926047952399</v>
      </c>
      <c r="F951" s="116">
        <v>91.182816120768464</v>
      </c>
    </row>
    <row r="952" spans="1:6" x14ac:dyDescent="0.25">
      <c r="A952" s="252">
        <f t="shared" si="14"/>
        <v>936</v>
      </c>
      <c r="B952" s="116">
        <v>100.60643127583452</v>
      </c>
      <c r="C952" s="116">
        <v>101.13363642458459</v>
      </c>
      <c r="D952" s="116">
        <v>97.249579297437961</v>
      </c>
      <c r="E952" s="116">
        <v>92.695366180402331</v>
      </c>
      <c r="F952" s="116">
        <v>94.675822952178365</v>
      </c>
    </row>
    <row r="953" spans="1:6" x14ac:dyDescent="0.25">
      <c r="A953" s="252">
        <f t="shared" si="14"/>
        <v>937</v>
      </c>
      <c r="B953" s="116">
        <v>103.09265565189725</v>
      </c>
      <c r="C953" s="116">
        <v>96.648907622204504</v>
      </c>
      <c r="D953" s="116">
        <v>98.680460425342289</v>
      </c>
      <c r="E953" s="116">
        <v>92.695949118662071</v>
      </c>
      <c r="F953" s="116">
        <v>93.741166071357625</v>
      </c>
    </row>
    <row r="954" spans="1:6" x14ac:dyDescent="0.25">
      <c r="A954" s="252">
        <f t="shared" si="14"/>
        <v>938</v>
      </c>
      <c r="B954" s="116">
        <v>101.03047901818977</v>
      </c>
      <c r="C954" s="116">
        <v>100.10833519259253</v>
      </c>
      <c r="D954" s="116">
        <v>98.425485639290414</v>
      </c>
      <c r="E954" s="116">
        <v>95.757979315597467</v>
      </c>
      <c r="F954" s="116">
        <v>91.300947908811054</v>
      </c>
    </row>
    <row r="955" spans="1:6" x14ac:dyDescent="0.25">
      <c r="A955" s="252">
        <f t="shared" si="14"/>
        <v>939</v>
      </c>
      <c r="B955" s="116">
        <v>102.92927464223078</v>
      </c>
      <c r="C955" s="116">
        <v>97.933309624493759</v>
      </c>
      <c r="D955" s="116">
        <v>95.186406856004368</v>
      </c>
      <c r="E955" s="116">
        <v>94.947221560151135</v>
      </c>
      <c r="F955" s="116">
        <v>93.097111181023848</v>
      </c>
    </row>
    <row r="956" spans="1:6" x14ac:dyDescent="0.25">
      <c r="A956" s="252">
        <f t="shared" si="14"/>
        <v>940</v>
      </c>
      <c r="B956" s="116">
        <v>101.12497392877033</v>
      </c>
      <c r="C956" s="116">
        <v>99.756060090011431</v>
      </c>
      <c r="D956" s="116">
        <v>96.812474581804196</v>
      </c>
      <c r="E956" s="116">
        <v>95.100442558170556</v>
      </c>
      <c r="F956" s="116">
        <v>93.231710693062013</v>
      </c>
    </row>
    <row r="957" spans="1:6" x14ac:dyDescent="0.25">
      <c r="A957" s="252">
        <f t="shared" si="14"/>
        <v>941</v>
      </c>
      <c r="B957" s="116">
        <v>100.94455652687354</v>
      </c>
      <c r="C957" s="116">
        <v>98.694739278567155</v>
      </c>
      <c r="D957" s="116">
        <v>96.601089439564674</v>
      </c>
      <c r="E957" s="116">
        <v>94.9362908562602</v>
      </c>
      <c r="F957" s="116">
        <v>91.116777297213346</v>
      </c>
    </row>
    <row r="958" spans="1:6" x14ac:dyDescent="0.25">
      <c r="A958" s="252">
        <f t="shared" si="14"/>
        <v>942</v>
      </c>
      <c r="B958" s="116">
        <v>101.38461577832489</v>
      </c>
      <c r="C958" s="116">
        <v>96.388597336789246</v>
      </c>
      <c r="D958" s="116">
        <v>95.542548611585417</v>
      </c>
      <c r="E958" s="116">
        <v>95.301853523891083</v>
      </c>
      <c r="F958" s="116">
        <v>94.142213026276067</v>
      </c>
    </row>
    <row r="959" spans="1:6" x14ac:dyDescent="0.25">
      <c r="A959" s="252">
        <f t="shared" si="14"/>
        <v>943</v>
      </c>
      <c r="B959" s="116">
        <v>100.94784264230255</v>
      </c>
      <c r="C959" s="116">
        <v>100.31554109863164</v>
      </c>
      <c r="D959" s="116">
        <v>95.687251067500824</v>
      </c>
      <c r="E959" s="116">
        <v>94.508810418465401</v>
      </c>
      <c r="F959" s="116">
        <v>92.719310186733139</v>
      </c>
    </row>
    <row r="960" spans="1:6" x14ac:dyDescent="0.25">
      <c r="A960" s="252">
        <f t="shared" si="14"/>
        <v>944</v>
      </c>
      <c r="B960" s="116">
        <v>97.626863842262537</v>
      </c>
      <c r="C960" s="116">
        <v>98.337007178092222</v>
      </c>
      <c r="D960" s="116">
        <v>95.808195385819829</v>
      </c>
      <c r="E960" s="116">
        <v>94.466806392689847</v>
      </c>
      <c r="F960" s="116">
        <v>94.484679371646592</v>
      </c>
    </row>
    <row r="961" spans="1:6" x14ac:dyDescent="0.25">
      <c r="A961" s="252">
        <f t="shared" si="14"/>
        <v>945</v>
      </c>
      <c r="B961" s="116">
        <v>102.23189879317859</v>
      </c>
      <c r="C961" s="116">
        <v>97.109374085258196</v>
      </c>
      <c r="D961" s="116">
        <v>98.33719845206852</v>
      </c>
      <c r="E961" s="116">
        <v>93.220539263346481</v>
      </c>
      <c r="F961" s="116">
        <v>93.419737416511808</v>
      </c>
    </row>
    <row r="962" spans="1:6" x14ac:dyDescent="0.25">
      <c r="A962" s="252">
        <f t="shared" si="14"/>
        <v>946</v>
      </c>
      <c r="B962" s="116">
        <v>101.77543170744819</v>
      </c>
      <c r="C962" s="116">
        <v>99.668913254611667</v>
      </c>
      <c r="D962" s="116">
        <v>98.096744639732663</v>
      </c>
      <c r="E962" s="116">
        <v>96.974842986932558</v>
      </c>
      <c r="F962" s="116">
        <v>93.629444171585334</v>
      </c>
    </row>
    <row r="963" spans="1:6" x14ac:dyDescent="0.25">
      <c r="A963" s="252">
        <f t="shared" si="14"/>
        <v>947</v>
      </c>
      <c r="B963" s="116">
        <v>101.63153101490397</v>
      </c>
      <c r="C963" s="116">
        <v>101.68167673185361</v>
      </c>
      <c r="D963" s="116">
        <v>96.569194173933241</v>
      </c>
      <c r="E963" s="116">
        <v>94.864016476025654</v>
      </c>
      <c r="F963" s="116">
        <v>93.198616035696048</v>
      </c>
    </row>
    <row r="964" spans="1:6" x14ac:dyDescent="0.25">
      <c r="A964" s="252">
        <f t="shared" si="14"/>
        <v>948</v>
      </c>
      <c r="B964" s="116">
        <v>104.81771593331956</v>
      </c>
      <c r="C964" s="116">
        <v>97.990213584446138</v>
      </c>
      <c r="D964" s="116">
        <v>97.519723588122531</v>
      </c>
      <c r="E964" s="116">
        <v>94.886249069449164</v>
      </c>
      <c r="F964" s="116">
        <v>91.507550238443883</v>
      </c>
    </row>
    <row r="965" spans="1:6" x14ac:dyDescent="0.25">
      <c r="A965" s="252">
        <f t="shared" si="14"/>
        <v>949</v>
      </c>
      <c r="B965" s="116">
        <v>102.40585650328617</v>
      </c>
      <c r="C965" s="116">
        <v>97.945171675060124</v>
      </c>
      <c r="D965" s="116">
        <v>100.07565191060964</v>
      </c>
      <c r="E965" s="116">
        <v>97.108651810089583</v>
      </c>
      <c r="F965" s="116">
        <v>93.302540139834434</v>
      </c>
    </row>
    <row r="966" spans="1:6" x14ac:dyDescent="0.25">
      <c r="A966" s="252">
        <f t="shared" si="14"/>
        <v>950</v>
      </c>
      <c r="B966" s="116">
        <v>104.05827844551338</v>
      </c>
      <c r="C966" s="116">
        <v>98.251976920146504</v>
      </c>
      <c r="D966" s="116">
        <v>97.922389194231187</v>
      </c>
      <c r="E966" s="116">
        <v>94.26293018403058</v>
      </c>
      <c r="F966" s="116">
        <v>91.935320967719719</v>
      </c>
    </row>
    <row r="967" spans="1:6" x14ac:dyDescent="0.25">
      <c r="A967" s="252">
        <f t="shared" si="14"/>
        <v>951</v>
      </c>
      <c r="B967" s="116">
        <v>102.91838306020227</v>
      </c>
      <c r="C967" s="116">
        <v>97.748599071022525</v>
      </c>
      <c r="D967" s="116">
        <v>98.182069057341593</v>
      </c>
      <c r="E967" s="116">
        <v>94.893016265190852</v>
      </c>
      <c r="F967" s="116">
        <v>92.493513441280498</v>
      </c>
    </row>
    <row r="968" spans="1:6" x14ac:dyDescent="0.25">
      <c r="A968" s="252">
        <f t="shared" si="14"/>
        <v>952</v>
      </c>
      <c r="B968" s="116">
        <v>105.87812693939483</v>
      </c>
      <c r="C968" s="116">
        <v>99.449260876973682</v>
      </c>
      <c r="D968" s="116">
        <v>94.886261516464529</v>
      </c>
      <c r="E968" s="116">
        <v>95.807925806492932</v>
      </c>
      <c r="F968" s="116">
        <v>94.542018420188455</v>
      </c>
    </row>
    <row r="969" spans="1:6" x14ac:dyDescent="0.25">
      <c r="A969" s="252">
        <f t="shared" si="14"/>
        <v>953</v>
      </c>
      <c r="B969" s="116">
        <v>101.3816419684504</v>
      </c>
      <c r="C969" s="116">
        <v>100.03406398822479</v>
      </c>
      <c r="D969" s="116">
        <v>98.46831254722801</v>
      </c>
      <c r="E969" s="116">
        <v>95.007182898606501</v>
      </c>
      <c r="F969" s="116">
        <v>93.350345957927587</v>
      </c>
    </row>
    <row r="970" spans="1:6" x14ac:dyDescent="0.25">
      <c r="A970" s="252">
        <f t="shared" si="14"/>
        <v>954</v>
      </c>
      <c r="B970" s="116">
        <v>101.91058842491523</v>
      </c>
      <c r="C970" s="116">
        <v>100.02146206766409</v>
      </c>
      <c r="D970" s="116">
        <v>99.242451751098017</v>
      </c>
      <c r="E970" s="116">
        <v>96.439460110813144</v>
      </c>
      <c r="F970" s="116">
        <v>91.510302008376627</v>
      </c>
    </row>
    <row r="971" spans="1:6" x14ac:dyDescent="0.25">
      <c r="A971" s="252">
        <f t="shared" si="14"/>
        <v>955</v>
      </c>
      <c r="B971" s="116">
        <v>102.87711545104733</v>
      </c>
      <c r="C971" s="116">
        <v>99.224114719519392</v>
      </c>
      <c r="D971" s="116">
        <v>97.06864195055185</v>
      </c>
      <c r="E971" s="116">
        <v>94.812593104922115</v>
      </c>
      <c r="F971" s="116">
        <v>92.996852819005753</v>
      </c>
    </row>
    <row r="972" spans="1:6" x14ac:dyDescent="0.25">
      <c r="A972" s="252">
        <f t="shared" si="14"/>
        <v>956</v>
      </c>
      <c r="B972" s="116">
        <v>104.89175001931486</v>
      </c>
      <c r="C972" s="116">
        <v>100.31269157117056</v>
      </c>
      <c r="D972" s="116">
        <v>96.22163221536195</v>
      </c>
      <c r="E972" s="116">
        <v>93.700235461702889</v>
      </c>
      <c r="F972" s="116">
        <v>91.556110536516698</v>
      </c>
    </row>
    <row r="973" spans="1:6" x14ac:dyDescent="0.25">
      <c r="A973" s="252">
        <f t="shared" si="14"/>
        <v>957</v>
      </c>
      <c r="B973" s="116">
        <v>104.11030231388011</v>
      </c>
      <c r="C973" s="116">
        <v>100.27900693508037</v>
      </c>
      <c r="D973" s="116">
        <v>96.246566207151574</v>
      </c>
      <c r="E973" s="116">
        <v>95.140477380973238</v>
      </c>
      <c r="F973" s="116">
        <v>92.754032203513489</v>
      </c>
    </row>
    <row r="974" spans="1:6" x14ac:dyDescent="0.25">
      <c r="A974" s="252">
        <f t="shared" si="14"/>
        <v>958</v>
      </c>
      <c r="B974" s="116">
        <v>102.60337280314889</v>
      </c>
      <c r="C974" s="116">
        <v>97.949077919687028</v>
      </c>
      <c r="D974" s="116">
        <v>99.429950796133454</v>
      </c>
      <c r="E974" s="116">
        <v>95.905885423725124</v>
      </c>
      <c r="F974" s="116">
        <v>94.118652876682333</v>
      </c>
    </row>
    <row r="975" spans="1:6" x14ac:dyDescent="0.25">
      <c r="A975" s="252">
        <f t="shared" si="14"/>
        <v>959</v>
      </c>
      <c r="B975" s="116">
        <v>100.54787977664542</v>
      </c>
      <c r="C975" s="116">
        <v>98.322493853317297</v>
      </c>
      <c r="D975" s="116">
        <v>97.796667127823625</v>
      </c>
      <c r="E975" s="116">
        <v>96.177022554962633</v>
      </c>
      <c r="F975" s="116">
        <v>94.353021105527006</v>
      </c>
    </row>
    <row r="976" spans="1:6" x14ac:dyDescent="0.25">
      <c r="A976" s="252">
        <f t="shared" si="14"/>
        <v>960</v>
      </c>
      <c r="B976" s="116">
        <v>101.04477486738058</v>
      </c>
      <c r="C976" s="116">
        <v>99.394781545249558</v>
      </c>
      <c r="D976" s="116">
        <v>94.770131714326624</v>
      </c>
      <c r="E976" s="116">
        <v>95.431078323151297</v>
      </c>
      <c r="F976" s="116">
        <v>90.316860351103614</v>
      </c>
    </row>
    <row r="977" spans="1:6" x14ac:dyDescent="0.25">
      <c r="A977" s="252">
        <f t="shared" si="14"/>
        <v>961</v>
      </c>
      <c r="B977" s="116">
        <v>103.24679576524584</v>
      </c>
      <c r="C977" s="116">
        <v>98.706292788077363</v>
      </c>
      <c r="D977" s="116">
        <v>96.717395698465666</v>
      </c>
      <c r="E977" s="116">
        <v>95.936991509287793</v>
      </c>
      <c r="F977" s="116">
        <v>93.33267092072947</v>
      </c>
    </row>
    <row r="978" spans="1:6" x14ac:dyDescent="0.25">
      <c r="A978" s="252">
        <f t="shared" si="14"/>
        <v>962</v>
      </c>
      <c r="B978" s="116">
        <v>104.34222628863948</v>
      </c>
      <c r="C978" s="116">
        <v>98.181130298720504</v>
      </c>
      <c r="D978" s="116">
        <v>94.639792077110513</v>
      </c>
      <c r="E978" s="116">
        <v>95.674084818777587</v>
      </c>
      <c r="F978" s="116">
        <v>93.367358907247038</v>
      </c>
    </row>
    <row r="979" spans="1:6" x14ac:dyDescent="0.25">
      <c r="A979" s="252">
        <f t="shared" ref="A979:A1016" si="15">+A978+1</f>
        <v>963</v>
      </c>
      <c r="B979" s="116">
        <v>102.10613784036397</v>
      </c>
      <c r="C979" s="116">
        <v>96.786463034623125</v>
      </c>
      <c r="D979" s="116">
        <v>94.80877525647567</v>
      </c>
      <c r="E979" s="116">
        <v>96.97018414067449</v>
      </c>
      <c r="F979" s="116">
        <v>93.459504320456929</v>
      </c>
    </row>
    <row r="980" spans="1:6" x14ac:dyDescent="0.25">
      <c r="A980" s="252">
        <f t="shared" si="15"/>
        <v>964</v>
      </c>
      <c r="B980" s="116">
        <v>103.15602607635515</v>
      </c>
      <c r="C980" s="116">
        <v>100.13704871014612</v>
      </c>
      <c r="D980" s="116">
        <v>95.648493357787558</v>
      </c>
      <c r="E980" s="116">
        <v>93.766272155838081</v>
      </c>
      <c r="F980" s="116">
        <v>92.132912756575806</v>
      </c>
    </row>
    <row r="981" spans="1:6" x14ac:dyDescent="0.25">
      <c r="A981" s="252">
        <f t="shared" si="15"/>
        <v>965</v>
      </c>
      <c r="B981" s="116">
        <v>99.662923048379753</v>
      </c>
      <c r="C981" s="116">
        <v>99.627281919301439</v>
      </c>
      <c r="D981" s="116">
        <v>96.102919276831372</v>
      </c>
      <c r="E981" s="116">
        <v>95.43949119096537</v>
      </c>
      <c r="F981" s="116">
        <v>92.799672189704083</v>
      </c>
    </row>
    <row r="982" spans="1:6" x14ac:dyDescent="0.25">
      <c r="A982" s="252">
        <f t="shared" si="15"/>
        <v>966</v>
      </c>
      <c r="B982" s="116">
        <v>104.70646697547093</v>
      </c>
      <c r="C982" s="116">
        <v>99.345962360594939</v>
      </c>
      <c r="D982" s="116">
        <v>94.60479473231787</v>
      </c>
      <c r="E982" s="116">
        <v>97.293489141393863</v>
      </c>
      <c r="F982" s="116">
        <v>92.874445012866403</v>
      </c>
    </row>
    <row r="983" spans="1:6" x14ac:dyDescent="0.25">
      <c r="A983" s="252">
        <f t="shared" si="15"/>
        <v>967</v>
      </c>
      <c r="B983" s="116">
        <v>100.30693175637359</v>
      </c>
      <c r="C983" s="116">
        <v>98.88255109957683</v>
      </c>
      <c r="D983" s="116">
        <v>97.941394725626679</v>
      </c>
      <c r="E983" s="116">
        <v>96.727909410524958</v>
      </c>
      <c r="F983" s="116">
        <v>92.353859052399613</v>
      </c>
    </row>
    <row r="984" spans="1:6" x14ac:dyDescent="0.25">
      <c r="A984" s="252">
        <f t="shared" si="15"/>
        <v>968</v>
      </c>
      <c r="B984" s="116">
        <v>100.57586773968966</v>
      </c>
      <c r="C984" s="116">
        <v>97.83980776281841</v>
      </c>
      <c r="D984" s="116">
        <v>98.998453882040465</v>
      </c>
      <c r="E984" s="116">
        <v>94.664630469673924</v>
      </c>
      <c r="F984" s="116">
        <v>93.432354401366851</v>
      </c>
    </row>
    <row r="985" spans="1:6" x14ac:dyDescent="0.25">
      <c r="A985" s="252">
        <f t="shared" si="15"/>
        <v>969</v>
      </c>
      <c r="B985" s="116">
        <v>106.76670029722659</v>
      </c>
      <c r="C985" s="116">
        <v>97.942231419893901</v>
      </c>
      <c r="D985" s="116">
        <v>97.442443310880989</v>
      </c>
      <c r="E985" s="116">
        <v>95.227277582132189</v>
      </c>
      <c r="F985" s="116">
        <v>92.302557096840133</v>
      </c>
    </row>
    <row r="986" spans="1:6" x14ac:dyDescent="0.25">
      <c r="A986" s="252">
        <f t="shared" si="15"/>
        <v>970</v>
      </c>
      <c r="B986" s="116">
        <v>102.33387778622605</v>
      </c>
      <c r="C986" s="116">
        <v>97.098207968013426</v>
      </c>
      <c r="D986" s="116">
        <v>97.337168845443287</v>
      </c>
      <c r="E986" s="116">
        <v>94.450605108028668</v>
      </c>
      <c r="F986" s="116">
        <v>93.950916798078907</v>
      </c>
    </row>
    <row r="987" spans="1:6" x14ac:dyDescent="0.25">
      <c r="A987" s="252">
        <f t="shared" si="15"/>
        <v>971</v>
      </c>
      <c r="B987" s="116">
        <v>101.64506422900992</v>
      </c>
      <c r="C987" s="116">
        <v>97.840508319423037</v>
      </c>
      <c r="D987" s="116">
        <v>97.228990487562498</v>
      </c>
      <c r="E987" s="116">
        <v>95.639495377368434</v>
      </c>
      <c r="F987" s="116">
        <v>91.829063143442994</v>
      </c>
    </row>
    <row r="988" spans="1:6" x14ac:dyDescent="0.25">
      <c r="A988" s="252">
        <f t="shared" si="15"/>
        <v>972</v>
      </c>
      <c r="B988" s="116">
        <v>102.02330708346567</v>
      </c>
      <c r="C988" s="116">
        <v>97.172266693256816</v>
      </c>
      <c r="D988" s="116">
        <v>95.006889055113206</v>
      </c>
      <c r="E988" s="116">
        <v>95.895809330438567</v>
      </c>
      <c r="F988" s="116">
        <v>92.303560689920602</v>
      </c>
    </row>
    <row r="989" spans="1:6" x14ac:dyDescent="0.25">
      <c r="A989" s="252">
        <f t="shared" si="15"/>
        <v>973</v>
      </c>
      <c r="B989" s="116">
        <v>98.065898572444965</v>
      </c>
      <c r="C989" s="116">
        <v>96.157458220648067</v>
      </c>
      <c r="D989" s="116">
        <v>97.312279459095947</v>
      </c>
      <c r="E989" s="116">
        <v>94.386803764940368</v>
      </c>
      <c r="F989" s="116">
        <v>92.808338698212282</v>
      </c>
    </row>
    <row r="990" spans="1:6" x14ac:dyDescent="0.25">
      <c r="A990" s="252">
        <f t="shared" si="15"/>
        <v>974</v>
      </c>
      <c r="B990" s="116">
        <v>103.49335452453437</v>
      </c>
      <c r="C990" s="116">
        <v>101.00623990411317</v>
      </c>
      <c r="D990" s="116">
        <v>97.428695714676522</v>
      </c>
      <c r="E990" s="116">
        <v>96.869868314457094</v>
      </c>
      <c r="F990" s="116">
        <v>93.074132359854858</v>
      </c>
    </row>
    <row r="991" spans="1:6" x14ac:dyDescent="0.25">
      <c r="A991" s="252">
        <f t="shared" si="15"/>
        <v>975</v>
      </c>
      <c r="B991" s="116">
        <v>103.12791486485236</v>
      </c>
      <c r="C991" s="116">
        <v>99.066978095193505</v>
      </c>
      <c r="D991" s="116">
        <v>100.27954530390001</v>
      </c>
      <c r="E991" s="116">
        <v>93.857134081391678</v>
      </c>
      <c r="F991" s="116">
        <v>94.757194059682973</v>
      </c>
    </row>
    <row r="992" spans="1:6" x14ac:dyDescent="0.25">
      <c r="A992" s="252">
        <f t="shared" si="15"/>
        <v>976</v>
      </c>
      <c r="B992" s="116">
        <v>102.36510354182326</v>
      </c>
      <c r="C992" s="116">
        <v>99.772397827430581</v>
      </c>
      <c r="D992" s="116">
        <v>94.999201159513461</v>
      </c>
      <c r="E992" s="116">
        <v>96.258477416963416</v>
      </c>
      <c r="F992" s="116">
        <v>90.748545473412918</v>
      </c>
    </row>
    <row r="993" spans="1:6" x14ac:dyDescent="0.25">
      <c r="A993" s="252">
        <f t="shared" si="15"/>
        <v>977</v>
      </c>
      <c r="B993" s="116">
        <v>105.76695876894573</v>
      </c>
      <c r="C993" s="116">
        <v>97.568183355028197</v>
      </c>
      <c r="D993" s="116">
        <v>96.799100573615789</v>
      </c>
      <c r="E993" s="116">
        <v>96.003269732633683</v>
      </c>
      <c r="F993" s="116">
        <v>92.181400679617042</v>
      </c>
    </row>
    <row r="994" spans="1:6" x14ac:dyDescent="0.25">
      <c r="A994" s="252">
        <f t="shared" si="15"/>
        <v>978</v>
      </c>
      <c r="B994" s="116">
        <v>99.361843768683443</v>
      </c>
      <c r="C994" s="116">
        <v>98.585144805162912</v>
      </c>
      <c r="D994" s="116">
        <v>97.028327895869012</v>
      </c>
      <c r="E994" s="116">
        <v>96.039603728202465</v>
      </c>
      <c r="F994" s="116">
        <v>94.824613121031291</v>
      </c>
    </row>
    <row r="995" spans="1:6" x14ac:dyDescent="0.25">
      <c r="A995" s="252">
        <f t="shared" si="15"/>
        <v>979</v>
      </c>
      <c r="B995" s="116">
        <v>102.38139568366735</v>
      </c>
      <c r="C995" s="116">
        <v>99.101894802255174</v>
      </c>
      <c r="D995" s="116">
        <v>95.89085194751317</v>
      </c>
      <c r="E995" s="116">
        <v>95.09579893189597</v>
      </c>
      <c r="F995" s="116">
        <v>92.771492382943819</v>
      </c>
    </row>
    <row r="996" spans="1:6" x14ac:dyDescent="0.25">
      <c r="A996" s="252">
        <f t="shared" si="15"/>
        <v>980</v>
      </c>
      <c r="B996" s="116">
        <v>100.49461643706015</v>
      </c>
      <c r="C996" s="116">
        <v>96.841571302987404</v>
      </c>
      <c r="D996" s="116">
        <v>97.369665016307692</v>
      </c>
      <c r="E996" s="116">
        <v>95.018224459593043</v>
      </c>
      <c r="F996" s="116">
        <v>92.951376669063521</v>
      </c>
    </row>
    <row r="997" spans="1:6" x14ac:dyDescent="0.25">
      <c r="A997" s="252">
        <f t="shared" si="15"/>
        <v>981</v>
      </c>
      <c r="B997" s="116">
        <v>102.45645311731465</v>
      </c>
      <c r="C997" s="116">
        <v>97.434958162887881</v>
      </c>
      <c r="D997" s="116">
        <v>98.327956839653211</v>
      </c>
      <c r="E997" s="116">
        <v>96.10246732661065</v>
      </c>
      <c r="F997" s="116">
        <v>91.166922227429026</v>
      </c>
    </row>
    <row r="998" spans="1:6" x14ac:dyDescent="0.25">
      <c r="A998" s="252">
        <f t="shared" si="15"/>
        <v>982</v>
      </c>
      <c r="B998" s="116">
        <v>102.93920438308854</v>
      </c>
      <c r="C998" s="116">
        <v>101.05976943136233</v>
      </c>
      <c r="D998" s="116">
        <v>95.791395044021684</v>
      </c>
      <c r="E998" s="116">
        <v>95.287889310293039</v>
      </c>
      <c r="F998" s="116">
        <v>93.63699467421398</v>
      </c>
    </row>
    <row r="999" spans="1:6" x14ac:dyDescent="0.25">
      <c r="A999" s="252">
        <f t="shared" si="15"/>
        <v>983</v>
      </c>
      <c r="B999" s="116">
        <v>102.92803936444353</v>
      </c>
      <c r="C999" s="116">
        <v>101.14437381447814</v>
      </c>
      <c r="D999" s="116">
        <v>98.97058741738401</v>
      </c>
      <c r="E999" s="116">
        <v>91.747197471985814</v>
      </c>
      <c r="F999" s="116">
        <v>92.259252729368072</v>
      </c>
    </row>
    <row r="1000" spans="1:6" x14ac:dyDescent="0.25">
      <c r="A1000" s="252">
        <f t="shared" si="15"/>
        <v>984</v>
      </c>
      <c r="B1000" s="116">
        <v>99.02983555382923</v>
      </c>
      <c r="C1000" s="116">
        <v>101.3864355504132</v>
      </c>
      <c r="D1000" s="116">
        <v>95.051346075529537</v>
      </c>
      <c r="E1000" s="116">
        <v>95.193497821069982</v>
      </c>
      <c r="F1000" s="116">
        <v>92.345455931954461</v>
      </c>
    </row>
    <row r="1001" spans="1:6" x14ac:dyDescent="0.25">
      <c r="A1001" s="252">
        <f t="shared" si="15"/>
        <v>985</v>
      </c>
      <c r="B1001" s="116">
        <v>100.438936331438</v>
      </c>
      <c r="C1001" s="116">
        <v>100.57725077522603</v>
      </c>
      <c r="D1001" s="116">
        <v>96.983439862336439</v>
      </c>
      <c r="E1001" s="116">
        <v>94.526587234280612</v>
      </c>
      <c r="F1001" s="116">
        <v>94.538062784477532</v>
      </c>
    </row>
    <row r="1002" spans="1:6" x14ac:dyDescent="0.25">
      <c r="A1002" s="252">
        <f t="shared" si="15"/>
        <v>986</v>
      </c>
      <c r="B1002" s="116">
        <v>101.27262137636676</v>
      </c>
      <c r="C1002" s="116">
        <v>98.211788741533681</v>
      </c>
      <c r="D1002" s="116">
        <v>98.022965459753593</v>
      </c>
      <c r="E1002" s="116">
        <v>93.751800877457185</v>
      </c>
      <c r="F1002" s="116">
        <v>92.411302290668516</v>
      </c>
    </row>
    <row r="1003" spans="1:6" x14ac:dyDescent="0.25">
      <c r="A1003" s="252">
        <f t="shared" si="15"/>
        <v>987</v>
      </c>
      <c r="B1003" s="116">
        <v>103.09497098016968</v>
      </c>
      <c r="C1003" s="116">
        <v>99.961198960565881</v>
      </c>
      <c r="D1003" s="116">
        <v>100.43144962248547</v>
      </c>
      <c r="E1003" s="116">
        <v>95.23743340875167</v>
      </c>
      <c r="F1003" s="116">
        <v>94.998535983023729</v>
      </c>
    </row>
    <row r="1004" spans="1:6" x14ac:dyDescent="0.25">
      <c r="A1004" s="252">
        <f t="shared" si="15"/>
        <v>988</v>
      </c>
      <c r="B1004" s="116">
        <v>101.12631925597861</v>
      </c>
      <c r="C1004" s="116">
        <v>99.107307804091803</v>
      </c>
      <c r="D1004" s="116">
        <v>98.044915694481389</v>
      </c>
      <c r="E1004" s="116">
        <v>96.212772134959025</v>
      </c>
      <c r="F1004" s="116">
        <v>93.028729002043619</v>
      </c>
    </row>
    <row r="1005" spans="1:6" x14ac:dyDescent="0.25">
      <c r="A1005" s="252">
        <f t="shared" si="15"/>
        <v>989</v>
      </c>
      <c r="B1005" s="116">
        <v>104.15718706358753</v>
      </c>
      <c r="C1005" s="116">
        <v>100.85451130362215</v>
      </c>
      <c r="D1005" s="116">
        <v>95.191036465477865</v>
      </c>
      <c r="E1005" s="116">
        <v>95.0412900260703</v>
      </c>
      <c r="F1005" s="116">
        <v>93.694927555836244</v>
      </c>
    </row>
    <row r="1006" spans="1:6" x14ac:dyDescent="0.25">
      <c r="A1006" s="252">
        <f t="shared" si="15"/>
        <v>990</v>
      </c>
      <c r="B1006" s="116">
        <v>101.95503497534682</v>
      </c>
      <c r="C1006" s="116">
        <v>97.285178173307216</v>
      </c>
      <c r="D1006" s="116">
        <v>98.919611679640781</v>
      </c>
      <c r="E1006" s="116">
        <v>95.0771981231089</v>
      </c>
      <c r="F1006" s="116">
        <v>94.90686576115354</v>
      </c>
    </row>
    <row r="1007" spans="1:6" x14ac:dyDescent="0.25">
      <c r="A1007" s="252">
        <f t="shared" si="15"/>
        <v>991</v>
      </c>
      <c r="B1007" s="116">
        <v>101.54154648567645</v>
      </c>
      <c r="C1007" s="116">
        <v>102.48739627081558</v>
      </c>
      <c r="D1007" s="116">
        <v>98.024124927128696</v>
      </c>
      <c r="E1007" s="116">
        <v>95.216486669189521</v>
      </c>
      <c r="F1007" s="116">
        <v>91.355311632402532</v>
      </c>
    </row>
    <row r="1008" spans="1:6" x14ac:dyDescent="0.25">
      <c r="A1008" s="252">
        <f t="shared" si="15"/>
        <v>992</v>
      </c>
      <c r="B1008" s="116">
        <v>100.32725836792912</v>
      </c>
      <c r="C1008" s="116">
        <v>102.07005061412301</v>
      </c>
      <c r="D1008" s="116">
        <v>99.042699804950985</v>
      </c>
      <c r="E1008" s="116">
        <v>94.448451087907017</v>
      </c>
      <c r="F1008" s="116">
        <v>92.599047826528718</v>
      </c>
    </row>
    <row r="1009" spans="1:6" x14ac:dyDescent="0.25">
      <c r="A1009" s="252">
        <f t="shared" si="15"/>
        <v>993</v>
      </c>
      <c r="B1009" s="116">
        <v>102.17525734117042</v>
      </c>
      <c r="C1009" s="116">
        <v>100.66388850249528</v>
      </c>
      <c r="D1009" s="116">
        <v>96.520622846673845</v>
      </c>
      <c r="E1009" s="116">
        <v>93.637176473330072</v>
      </c>
      <c r="F1009" s="116">
        <v>92.691532547124908</v>
      </c>
    </row>
    <row r="1010" spans="1:6" x14ac:dyDescent="0.25">
      <c r="A1010" s="252">
        <f t="shared" si="15"/>
        <v>994</v>
      </c>
      <c r="B1010" s="116">
        <v>106.34063055050987</v>
      </c>
      <c r="C1010" s="116">
        <v>96.178036035513173</v>
      </c>
      <c r="D1010" s="116">
        <v>99.34465554757783</v>
      </c>
      <c r="E1010" s="116">
        <v>94.213018068417185</v>
      </c>
      <c r="F1010" s="116">
        <v>93.373023682952706</v>
      </c>
    </row>
    <row r="1011" spans="1:6" x14ac:dyDescent="0.25">
      <c r="A1011" s="252">
        <f t="shared" si="15"/>
        <v>995</v>
      </c>
      <c r="B1011" s="116">
        <v>102.06291588473358</v>
      </c>
      <c r="C1011" s="116">
        <v>97.263997955676672</v>
      </c>
      <c r="D1011" s="116">
        <v>97.160557214615523</v>
      </c>
      <c r="E1011" s="116">
        <v>94.517519965420021</v>
      </c>
      <c r="F1011" s="116">
        <v>93.006665765190718</v>
      </c>
    </row>
    <row r="1012" spans="1:6" x14ac:dyDescent="0.25">
      <c r="A1012" s="252">
        <f t="shared" si="15"/>
        <v>996</v>
      </c>
      <c r="B1012" s="116">
        <v>101.71998333879112</v>
      </c>
      <c r="C1012" s="116">
        <v>100.08477713202653</v>
      </c>
      <c r="D1012" s="116">
        <v>97.615413231714058</v>
      </c>
      <c r="E1012" s="116">
        <v>96.345471455918712</v>
      </c>
      <c r="F1012" s="116">
        <v>93.265588916521367</v>
      </c>
    </row>
    <row r="1013" spans="1:6" x14ac:dyDescent="0.25">
      <c r="A1013" s="252">
        <f t="shared" si="15"/>
        <v>997</v>
      </c>
      <c r="B1013" s="116">
        <v>98.839959961286766</v>
      </c>
      <c r="C1013" s="116">
        <v>98.899537251478336</v>
      </c>
      <c r="D1013" s="116">
        <v>98.221304400018624</v>
      </c>
      <c r="E1013" s="116">
        <v>96.262521170228666</v>
      </c>
      <c r="F1013" s="116">
        <v>94.609958160374504</v>
      </c>
    </row>
    <row r="1014" spans="1:6" x14ac:dyDescent="0.25">
      <c r="A1014" s="252">
        <f t="shared" si="15"/>
        <v>998</v>
      </c>
      <c r="B1014" s="116">
        <v>99.961692152035326</v>
      </c>
      <c r="C1014" s="116">
        <v>99.826550922872599</v>
      </c>
      <c r="D1014" s="116">
        <v>96.752910224755809</v>
      </c>
      <c r="E1014" s="116">
        <v>95.033317013380824</v>
      </c>
      <c r="F1014" s="116">
        <v>93.099889968625106</v>
      </c>
    </row>
    <row r="1015" spans="1:6" x14ac:dyDescent="0.25">
      <c r="A1015" s="252">
        <f t="shared" si="15"/>
        <v>999</v>
      </c>
      <c r="B1015" s="116">
        <v>104.50196379332176</v>
      </c>
      <c r="C1015" s="116">
        <v>97.561320063749477</v>
      </c>
      <c r="D1015" s="116">
        <v>98.17187802940488</v>
      </c>
      <c r="E1015" s="116">
        <v>94.704654051249989</v>
      </c>
      <c r="F1015" s="116">
        <v>93.370429574414047</v>
      </c>
    </row>
    <row r="1016" spans="1:6" x14ac:dyDescent="0.25">
      <c r="A1016" s="252">
        <f t="shared" si="15"/>
        <v>1000</v>
      </c>
      <c r="B1016" s="116">
        <v>99.582437560633394</v>
      </c>
      <c r="C1016" s="116">
        <v>100.32111251611208</v>
      </c>
      <c r="D1016" s="116">
        <v>96.468276857383003</v>
      </c>
      <c r="E1016" s="116">
        <v>96.167106155443705</v>
      </c>
      <c r="F1016" s="116">
        <v>90.527846791805615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10</vt:i4>
      </vt:variant>
    </vt:vector>
  </HeadingPairs>
  <TitlesOfParts>
    <vt:vector size="30" baseType="lpstr">
      <vt:lpstr>Panel de control</vt:lpstr>
      <vt:lpstr>Escenarios 20181023</vt:lpstr>
      <vt:lpstr>R_Escenarios</vt:lpstr>
      <vt:lpstr>3Esc</vt:lpstr>
      <vt:lpstr>PRY</vt:lpstr>
      <vt:lpstr>Resumen</vt:lpstr>
      <vt:lpstr>Informe BP</vt:lpstr>
      <vt:lpstr>Comparación</vt:lpstr>
      <vt:lpstr>CM_Prob</vt:lpstr>
      <vt:lpstr>ACRE2delete</vt:lpstr>
      <vt:lpstr>EPI</vt:lpstr>
      <vt:lpstr>AFI</vt:lpstr>
      <vt:lpstr>Base</vt:lpstr>
      <vt:lpstr>201512</vt:lpstr>
      <vt:lpstr>201612</vt:lpstr>
      <vt:lpstr>201712</vt:lpstr>
      <vt:lpstr>201806</vt:lpstr>
      <vt:lpstr>TdD</vt:lpstr>
      <vt:lpstr>Anexo 01 </vt:lpstr>
      <vt:lpstr>PRY (2)</vt:lpstr>
      <vt:lpstr>'201512'!Área_de_impresión</vt:lpstr>
      <vt:lpstr>'201612'!Área_de_impresión</vt:lpstr>
      <vt:lpstr>'201712'!Área_de_impresión</vt:lpstr>
      <vt:lpstr>'201806'!Área_de_impresión</vt:lpstr>
      <vt:lpstr>Base!Área_de_impresión</vt:lpstr>
      <vt:lpstr>EPI!Área_de_impresión</vt:lpstr>
      <vt:lpstr>PRY!Área_de_impresión</vt:lpstr>
      <vt:lpstr>'PRY (2)'!Área_de_impresión</vt:lpstr>
      <vt:lpstr>PRY!Títulos_a_imprimir</vt:lpstr>
      <vt:lpstr>'PRY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ABI Consultoría</dc:creator>
  <cp:lastModifiedBy>Javier Alonso Alvarez Sanchez</cp:lastModifiedBy>
  <cp:lastPrinted>2019-07-31T20:25:23Z</cp:lastPrinted>
  <dcterms:created xsi:type="dcterms:W3CDTF">2018-08-21T20:28:00Z</dcterms:created>
  <dcterms:modified xsi:type="dcterms:W3CDTF">2020-08-19T20:41:46Z</dcterms:modified>
</cp:coreProperties>
</file>